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office.accenture.com/personal/biani_noubissi_accenture_com/Documents/Pokemon/"/>
    </mc:Choice>
  </mc:AlternateContent>
  <xr:revisionPtr revIDLastSave="27" documentId="8_{3460720D-4094-49B9-8C12-1ABDC53E4E1F}" xr6:coauthVersionLast="47" xr6:coauthVersionMax="47" xr10:uidLastSave="{746A5E38-925E-4173-872D-F8928B8ECD7E}"/>
  <bookViews>
    <workbookView xWindow="-110" yWindow="-110" windowWidth="22780" windowHeight="14540" activeTab="4" xr2:uid="{28D41465-3A17-4B09-9699-B1FAF51B5EF4}"/>
  </bookViews>
  <sheets>
    <sheet name="MSP Program" sheetId="9" r:id="rId1"/>
    <sheet name="Detailed MSP Model" sheetId="6" r:id="rId2"/>
    <sheet name="MSP 1 Pay Rates" sheetId="8" r:id="rId3"/>
    <sheet name="Business Baseline" sheetId="2" r:id="rId4"/>
    <sheet name="MSP Program Cost Model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9" l="1"/>
  <c r="D26" i="9" s="1"/>
  <c r="C25" i="9"/>
  <c r="D25" i="9" s="1"/>
  <c r="D27" i="9" s="1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F41" i="2"/>
  <c r="F34" i="2"/>
  <c r="E34" i="2"/>
  <c r="C27" i="9" l="1"/>
  <c r="D29" i="6"/>
  <c r="H29" i="6" s="1"/>
  <c r="D28" i="6"/>
  <c r="H28" i="6" s="1"/>
  <c r="V43" i="6"/>
  <c r="C27" i="6"/>
  <c r="D27" i="6"/>
  <c r="H27" i="6" s="1"/>
  <c r="C28" i="6"/>
  <c r="C29" i="6"/>
  <c r="C30" i="6"/>
  <c r="D30" i="6"/>
  <c r="H30" i="6" s="1"/>
  <c r="C31" i="6"/>
  <c r="D31" i="6"/>
  <c r="H31" i="6" s="1"/>
  <c r="C32" i="6"/>
  <c r="D32" i="6"/>
  <c r="H32" i="6" s="1"/>
  <c r="C33" i="6"/>
  <c r="D33" i="6"/>
  <c r="H33" i="6" s="1"/>
  <c r="C34" i="6"/>
  <c r="D34" i="6"/>
  <c r="H34" i="6" s="1"/>
  <c r="C35" i="6"/>
  <c r="D35" i="6"/>
  <c r="H35" i="6" s="1"/>
  <c r="C36" i="6"/>
  <c r="D36" i="6"/>
  <c r="H36" i="6" s="1"/>
  <c r="E5" i="8"/>
  <c r="AK21" i="6"/>
  <c r="V20" i="6"/>
  <c r="E19" i="8"/>
  <c r="E17" i="8"/>
  <c r="E15" i="8"/>
  <c r="E13" i="8"/>
  <c r="E11" i="8"/>
  <c r="E9" i="8"/>
  <c r="E7" i="8"/>
  <c r="V21" i="6" l="1"/>
  <c r="E12" i="8"/>
  <c r="H7" i="6"/>
  <c r="H5" i="6"/>
  <c r="H8" i="6" l="1"/>
  <c r="H10" i="6"/>
  <c r="E14" i="8"/>
  <c r="E6" i="8"/>
  <c r="H6" i="6"/>
  <c r="E10" i="8"/>
  <c r="H9" i="6"/>
  <c r="E20" i="8"/>
  <c r="H11" i="6"/>
  <c r="E18" i="8"/>
  <c r="H13" i="6"/>
  <c r="E8" i="8"/>
  <c r="H12" i="6"/>
  <c r="E16" i="8"/>
  <c r="D6" i="6"/>
  <c r="D7" i="6"/>
  <c r="D8" i="6"/>
  <c r="D9" i="6"/>
  <c r="D10" i="6"/>
  <c r="D11" i="6"/>
  <c r="D12" i="6"/>
  <c r="D13" i="6"/>
  <c r="D14" i="6"/>
  <c r="H14" i="6" s="1"/>
  <c r="D5" i="6"/>
  <c r="C14" i="6"/>
  <c r="C13" i="6"/>
  <c r="C12" i="6"/>
  <c r="C11" i="6"/>
  <c r="C10" i="6"/>
  <c r="C9" i="6"/>
  <c r="C8" i="6"/>
  <c r="C7" i="6"/>
  <c r="C6" i="6"/>
  <c r="C5" i="6"/>
  <c r="G38" i="2" l="1"/>
  <c r="G36" i="2"/>
  <c r="G39" i="2"/>
  <c r="G37" i="2"/>
  <c r="G33" i="2"/>
  <c r="G40" i="2"/>
  <c r="G35" i="2"/>
  <c r="G30" i="2"/>
  <c r="G32" i="2"/>
  <c r="G31" i="2"/>
  <c r="G29" i="2"/>
  <c r="G28" i="2"/>
  <c r="U53" i="5" l="1"/>
  <c r="T53" i="5"/>
  <c r="T54" i="5"/>
  <c r="U54" i="5" s="1"/>
  <c r="T55" i="5"/>
  <c r="U55" i="5" s="1"/>
  <c r="T56" i="5"/>
  <c r="T57" i="5"/>
  <c r="T58" i="5"/>
  <c r="T59" i="5"/>
  <c r="T60" i="5"/>
  <c r="U60" i="5" s="1"/>
  <c r="T61" i="5"/>
  <c r="U61" i="5" s="1"/>
  <c r="T62" i="5"/>
  <c r="U62" i="5" s="1"/>
  <c r="T40" i="5"/>
  <c r="U40" i="5" s="1"/>
  <c r="T41" i="5"/>
  <c r="T42" i="5"/>
  <c r="T43" i="5"/>
  <c r="T44" i="5"/>
  <c r="U44" i="5" s="1"/>
  <c r="T45" i="5"/>
  <c r="T46" i="5"/>
  <c r="U46" i="5" s="1"/>
  <c r="T47" i="5"/>
  <c r="U47" i="5" s="1"/>
  <c r="T48" i="5"/>
  <c r="U48" i="5" s="1"/>
  <c r="T39" i="5"/>
  <c r="U56" i="5"/>
  <c r="U57" i="5"/>
  <c r="U58" i="5"/>
  <c r="U59" i="5"/>
  <c r="U39" i="5"/>
  <c r="U41" i="5"/>
  <c r="U42" i="5"/>
  <c r="U43" i="5"/>
  <c r="U45" i="5"/>
  <c r="M53" i="5"/>
  <c r="M54" i="5"/>
  <c r="M55" i="5"/>
  <c r="M56" i="5"/>
  <c r="M57" i="5"/>
  <c r="M58" i="5"/>
  <c r="M59" i="5"/>
  <c r="M60" i="5"/>
  <c r="M61" i="5"/>
  <c r="M62" i="5"/>
  <c r="M40" i="5"/>
  <c r="M41" i="5"/>
  <c r="M42" i="5"/>
  <c r="M43" i="5"/>
  <c r="M44" i="5"/>
  <c r="M45" i="5"/>
  <c r="M46" i="5"/>
  <c r="M47" i="5"/>
  <c r="M48" i="5"/>
  <c r="M39" i="5"/>
  <c r="L40" i="5"/>
  <c r="L41" i="5"/>
  <c r="L42" i="5"/>
  <c r="L43" i="5"/>
  <c r="L44" i="5"/>
  <c r="L45" i="5"/>
  <c r="L46" i="5"/>
  <c r="L47" i="5"/>
  <c r="L48" i="5"/>
  <c r="L39" i="5"/>
  <c r="L53" i="5"/>
  <c r="L54" i="5"/>
  <c r="L55" i="5"/>
  <c r="L56" i="5"/>
  <c r="L57" i="5"/>
  <c r="L58" i="5"/>
  <c r="L59" i="5"/>
  <c r="L60" i="5"/>
  <c r="L61" i="5"/>
  <c r="L62" i="5"/>
  <c r="K53" i="5" l="1"/>
  <c r="N53" i="5" s="1"/>
  <c r="P53" i="5" s="1"/>
  <c r="K54" i="5"/>
  <c r="N54" i="5" s="1"/>
  <c r="P54" i="5" s="1"/>
  <c r="K55" i="5"/>
  <c r="N55" i="5" s="1"/>
  <c r="P55" i="5" s="1"/>
  <c r="K56" i="5"/>
  <c r="N56" i="5" s="1"/>
  <c r="P56" i="5" s="1"/>
  <c r="K57" i="5"/>
  <c r="N57" i="5" s="1"/>
  <c r="P57" i="5" s="1"/>
  <c r="K58" i="5"/>
  <c r="K59" i="5"/>
  <c r="N59" i="5" s="1"/>
  <c r="P59" i="5" s="1"/>
  <c r="K60" i="5"/>
  <c r="N60" i="5" s="1"/>
  <c r="P60" i="5" s="1"/>
  <c r="K61" i="5"/>
  <c r="N61" i="5" s="1"/>
  <c r="P61" i="5" s="1"/>
  <c r="K62" i="5"/>
  <c r="N62" i="5" s="1"/>
  <c r="P62" i="5" s="1"/>
  <c r="S53" i="5"/>
  <c r="V53" i="5" s="1"/>
  <c r="X53" i="5" s="1"/>
  <c r="S54" i="5"/>
  <c r="V54" i="5" s="1"/>
  <c r="X54" i="5" s="1"/>
  <c r="S55" i="5"/>
  <c r="V55" i="5" s="1"/>
  <c r="X55" i="5" s="1"/>
  <c r="S56" i="5"/>
  <c r="V56" i="5" s="1"/>
  <c r="X56" i="5" s="1"/>
  <c r="S57" i="5"/>
  <c r="V57" i="5" s="1"/>
  <c r="X57" i="5" s="1"/>
  <c r="S58" i="5"/>
  <c r="V58" i="5" s="1"/>
  <c r="X58" i="5" s="1"/>
  <c r="S59" i="5"/>
  <c r="V59" i="5" s="1"/>
  <c r="X59" i="5" s="1"/>
  <c r="S60" i="5"/>
  <c r="V60" i="5" s="1"/>
  <c r="X60" i="5" s="1"/>
  <c r="S61" i="5"/>
  <c r="V61" i="5" s="1"/>
  <c r="X61" i="5" s="1"/>
  <c r="S62" i="5"/>
  <c r="V62" i="5" s="1"/>
  <c r="X62" i="5" s="1"/>
  <c r="M16" i="5"/>
  <c r="M17" i="5" s="1"/>
  <c r="S39" i="5"/>
  <c r="W39" i="5" s="1"/>
  <c r="Y39" i="5" s="1"/>
  <c r="S40" i="5"/>
  <c r="V40" i="5" s="1"/>
  <c r="X40" i="5" s="1"/>
  <c r="S41" i="5"/>
  <c r="V41" i="5" s="1"/>
  <c r="X41" i="5" s="1"/>
  <c r="S42" i="5"/>
  <c r="V42" i="5" s="1"/>
  <c r="X42" i="5" s="1"/>
  <c r="S43" i="5"/>
  <c r="W43" i="5" s="1"/>
  <c r="Y43" i="5" s="1"/>
  <c r="S44" i="5"/>
  <c r="V44" i="5" s="1"/>
  <c r="X44" i="5" s="1"/>
  <c r="S45" i="5"/>
  <c r="V45" i="5" s="1"/>
  <c r="X45" i="5" s="1"/>
  <c r="S46" i="5"/>
  <c r="W46" i="5" s="1"/>
  <c r="Y46" i="5" s="1"/>
  <c r="S47" i="5"/>
  <c r="W47" i="5" s="1"/>
  <c r="Y47" i="5" s="1"/>
  <c r="S48" i="5"/>
  <c r="V48" i="5" s="1"/>
  <c r="X48" i="5" s="1"/>
  <c r="K39" i="5"/>
  <c r="K40" i="5"/>
  <c r="O40" i="5" s="1"/>
  <c r="Q40" i="5" s="1"/>
  <c r="K41" i="5"/>
  <c r="O41" i="5" s="1"/>
  <c r="Q41" i="5" s="1"/>
  <c r="K42" i="5"/>
  <c r="N42" i="5" s="1"/>
  <c r="P42" i="5" s="1"/>
  <c r="K43" i="5"/>
  <c r="N43" i="5" s="1"/>
  <c r="P43" i="5" s="1"/>
  <c r="K44" i="5"/>
  <c r="N44" i="5" s="1"/>
  <c r="P44" i="5" s="1"/>
  <c r="K45" i="5"/>
  <c r="O45" i="5" s="1"/>
  <c r="Q45" i="5" s="1"/>
  <c r="K46" i="5"/>
  <c r="O46" i="5" s="1"/>
  <c r="Q46" i="5" s="1"/>
  <c r="K47" i="5"/>
  <c r="O47" i="5" s="1"/>
  <c r="Q47" i="5" s="1"/>
  <c r="K48" i="5"/>
  <c r="O48" i="5" s="1"/>
  <c r="Q48" i="5" s="1"/>
  <c r="S25" i="5"/>
  <c r="T25" i="5"/>
  <c r="S26" i="5"/>
  <c r="T26" i="5"/>
  <c r="S27" i="5"/>
  <c r="T27" i="5"/>
  <c r="S28" i="5"/>
  <c r="T28" i="5"/>
  <c r="S29" i="5"/>
  <c r="T29" i="5"/>
  <c r="S30" i="5"/>
  <c r="T30" i="5"/>
  <c r="S31" i="5"/>
  <c r="T31" i="5"/>
  <c r="S32" i="5"/>
  <c r="T32" i="5"/>
  <c r="S33" i="5"/>
  <c r="T33" i="5"/>
  <c r="S34" i="5"/>
  <c r="T34" i="5"/>
  <c r="L25" i="5"/>
  <c r="L26" i="5"/>
  <c r="L27" i="5"/>
  <c r="L28" i="5"/>
  <c r="L29" i="5"/>
  <c r="L30" i="5"/>
  <c r="L31" i="5"/>
  <c r="L32" i="5"/>
  <c r="L33" i="5"/>
  <c r="L34" i="5"/>
  <c r="D26" i="5"/>
  <c r="D27" i="5"/>
  <c r="D28" i="5"/>
  <c r="D29" i="5"/>
  <c r="D30" i="5"/>
  <c r="D31" i="5"/>
  <c r="D32" i="5"/>
  <c r="D33" i="5"/>
  <c r="D34" i="5"/>
  <c r="D25" i="5"/>
  <c r="K25" i="5"/>
  <c r="K26" i="5"/>
  <c r="K27" i="5"/>
  <c r="K28" i="5"/>
  <c r="K29" i="5"/>
  <c r="K30" i="5"/>
  <c r="K31" i="5"/>
  <c r="K32" i="5"/>
  <c r="K33" i="5"/>
  <c r="K34" i="5"/>
  <c r="C26" i="5"/>
  <c r="C27" i="5"/>
  <c r="C28" i="5"/>
  <c r="C29" i="5"/>
  <c r="C30" i="5"/>
  <c r="C31" i="5"/>
  <c r="C32" i="5"/>
  <c r="C33" i="5"/>
  <c r="C34" i="5"/>
  <c r="C25" i="5"/>
  <c r="E62" i="5"/>
  <c r="E61" i="5"/>
  <c r="E60" i="5"/>
  <c r="E59" i="5"/>
  <c r="E58" i="5"/>
  <c r="E57" i="5"/>
  <c r="E56" i="5"/>
  <c r="E55" i="5"/>
  <c r="E54" i="5"/>
  <c r="E53" i="5"/>
  <c r="E40" i="5"/>
  <c r="E41" i="5"/>
  <c r="E42" i="5"/>
  <c r="E43" i="5"/>
  <c r="E44" i="5"/>
  <c r="E45" i="5"/>
  <c r="E46" i="5"/>
  <c r="E47" i="5"/>
  <c r="E48" i="5"/>
  <c r="E39" i="5"/>
  <c r="D24" i="2"/>
  <c r="V47" i="5" l="1"/>
  <c r="X47" i="5" s="1"/>
  <c r="N40" i="5"/>
  <c r="P40" i="5" s="1"/>
  <c r="R40" i="5" s="1"/>
  <c r="O39" i="5"/>
  <c r="Q39" i="5" s="1"/>
  <c r="N39" i="5"/>
  <c r="P39" i="5" s="1"/>
  <c r="V46" i="5"/>
  <c r="X46" i="5" s="1"/>
  <c r="V43" i="5"/>
  <c r="X43" i="5" s="1"/>
  <c r="V39" i="5"/>
  <c r="X39" i="5" s="1"/>
  <c r="G34" i="2"/>
  <c r="G41" i="2" s="1"/>
  <c r="N48" i="5"/>
  <c r="Z47" i="5"/>
  <c r="N41" i="5"/>
  <c r="P41" i="5" s="1"/>
  <c r="O43" i="5"/>
  <c r="W42" i="5"/>
  <c r="Y42" i="5" s="1"/>
  <c r="W55" i="5"/>
  <c r="O58" i="5"/>
  <c r="Q58" i="5" s="1"/>
  <c r="N47" i="5"/>
  <c r="W45" i="5"/>
  <c r="Y45" i="5" s="1"/>
  <c r="W41" i="5"/>
  <c r="Y41" i="5" s="1"/>
  <c r="W62" i="5"/>
  <c r="O59" i="5"/>
  <c r="Q59" i="5" s="1"/>
  <c r="O42" i="5"/>
  <c r="N46" i="5"/>
  <c r="W56" i="5"/>
  <c r="Y56" i="5" s="1"/>
  <c r="O54" i="5"/>
  <c r="N45" i="5"/>
  <c r="W48" i="5"/>
  <c r="W44" i="5"/>
  <c r="Y44" i="5" s="1"/>
  <c r="W40" i="5"/>
  <c r="Y40" i="5" s="1"/>
  <c r="W58" i="5"/>
  <c r="Y58" i="5" s="1"/>
  <c r="O44" i="5"/>
  <c r="W59" i="5"/>
  <c r="O62" i="5"/>
  <c r="N58" i="5"/>
  <c r="P58" i="5" s="1"/>
  <c r="O55" i="5"/>
  <c r="W54" i="5"/>
  <c r="Y54" i="5" s="1"/>
  <c r="O60" i="5"/>
  <c r="O56" i="5"/>
  <c r="O61" i="5"/>
  <c r="O57" i="5"/>
  <c r="O53" i="5"/>
  <c r="Q53" i="5" s="1"/>
  <c r="V63" i="5"/>
  <c r="W60" i="5"/>
  <c r="Y60" i="5" s="1"/>
  <c r="W61" i="5"/>
  <c r="W57" i="5"/>
  <c r="W53" i="5"/>
  <c r="Y53" i="5" s="1"/>
  <c r="E41" i="2"/>
  <c r="C3" i="2" s="1"/>
  <c r="E36" i="6" l="1"/>
  <c r="E27" i="6"/>
  <c r="E29" i="6"/>
  <c r="E34" i="6"/>
  <c r="E35" i="6"/>
  <c r="E28" i="6"/>
  <c r="E32" i="6"/>
  <c r="E30" i="6"/>
  <c r="E31" i="6"/>
  <c r="E33" i="6"/>
  <c r="E7" i="6"/>
  <c r="E13" i="6"/>
  <c r="E10" i="6"/>
  <c r="E6" i="6"/>
  <c r="E11" i="6"/>
  <c r="E8" i="6"/>
  <c r="E5" i="6"/>
  <c r="E14" i="6"/>
  <c r="E9" i="6"/>
  <c r="E12" i="6"/>
  <c r="R39" i="5"/>
  <c r="C5" i="5"/>
  <c r="W33" i="5" s="1"/>
  <c r="C4" i="2"/>
  <c r="Y59" i="5"/>
  <c r="Z59" i="5" s="1"/>
  <c r="Q44" i="5"/>
  <c r="R44" i="5" s="1"/>
  <c r="C4" i="5"/>
  <c r="V32" i="5" s="1"/>
  <c r="H41" i="2"/>
  <c r="H39" i="2"/>
  <c r="H33" i="2"/>
  <c r="H40" i="2"/>
  <c r="H38" i="2"/>
  <c r="H30" i="2"/>
  <c r="H32" i="2"/>
  <c r="H31" i="2"/>
  <c r="H29" i="2"/>
  <c r="H28" i="2"/>
  <c r="H35" i="2"/>
  <c r="H36" i="2"/>
  <c r="H37" i="2"/>
  <c r="Q61" i="5"/>
  <c r="R61" i="5" s="1"/>
  <c r="Q60" i="5"/>
  <c r="R60" i="5" s="1"/>
  <c r="Q57" i="5"/>
  <c r="R57" i="5" s="1"/>
  <c r="P47" i="5"/>
  <c r="R47" i="5" s="1"/>
  <c r="P46" i="5"/>
  <c r="R46" i="5" s="1"/>
  <c r="Q42" i="5"/>
  <c r="Y48" i="5"/>
  <c r="Z48" i="5" s="1"/>
  <c r="Y57" i="5"/>
  <c r="Z57" i="5" s="1"/>
  <c r="P45" i="5"/>
  <c r="R45" i="5" s="1"/>
  <c r="P48" i="5"/>
  <c r="R48" i="5" s="1"/>
  <c r="Q56" i="5"/>
  <c r="R56" i="5" s="1"/>
  <c r="Y55" i="5"/>
  <c r="Z55" i="5" s="1"/>
  <c r="Y61" i="5"/>
  <c r="Z61" i="5" s="1"/>
  <c r="Q55" i="5"/>
  <c r="R55" i="5" s="1"/>
  <c r="Y62" i="5"/>
  <c r="Q43" i="5"/>
  <c r="R43" i="5" s="1"/>
  <c r="Q62" i="5"/>
  <c r="R62" i="5" s="1"/>
  <c r="Q54" i="5"/>
  <c r="H34" i="2"/>
  <c r="Z39" i="5"/>
  <c r="Z46" i="5"/>
  <c r="Z45" i="5"/>
  <c r="Z60" i="5"/>
  <c r="Z54" i="5"/>
  <c r="Z40" i="5"/>
  <c r="R58" i="5"/>
  <c r="Z42" i="5"/>
  <c r="X63" i="5"/>
  <c r="Z44" i="5"/>
  <c r="Z43" i="5"/>
  <c r="Z41" i="5"/>
  <c r="R53" i="5"/>
  <c r="Z58" i="5"/>
  <c r="Z56" i="5"/>
  <c r="Z53" i="5"/>
  <c r="X49" i="5"/>
  <c r="R41" i="5"/>
  <c r="R59" i="5"/>
  <c r="N63" i="5"/>
  <c r="W63" i="5"/>
  <c r="P63" i="5"/>
  <c r="O63" i="5"/>
  <c r="N49" i="5"/>
  <c r="F27" i="5" l="1"/>
  <c r="F29" i="5"/>
  <c r="W29" i="5"/>
  <c r="O25" i="5"/>
  <c r="W27" i="5"/>
  <c r="W32" i="5"/>
  <c r="F25" i="5"/>
  <c r="H39" i="5" s="1"/>
  <c r="W25" i="5"/>
  <c r="O32" i="5"/>
  <c r="W30" i="5"/>
  <c r="F31" i="5"/>
  <c r="H59" i="5" s="1"/>
  <c r="F26" i="5"/>
  <c r="H54" i="5" s="1"/>
  <c r="W28" i="5"/>
  <c r="O33" i="5"/>
  <c r="F30" i="5"/>
  <c r="H44" i="5" s="1"/>
  <c r="F28" i="5"/>
  <c r="H42" i="5" s="1"/>
  <c r="W34" i="5"/>
  <c r="F34" i="5"/>
  <c r="H62" i="5" s="1"/>
  <c r="O34" i="5"/>
  <c r="W31" i="5"/>
  <c r="F33" i="5"/>
  <c r="H61" i="5" s="1"/>
  <c r="O26" i="5"/>
  <c r="W26" i="5"/>
  <c r="F32" i="5"/>
  <c r="H46" i="5" s="1"/>
  <c r="O31" i="5"/>
  <c r="O28" i="5"/>
  <c r="O29" i="5"/>
  <c r="F36" i="6"/>
  <c r="F34" i="6"/>
  <c r="F31" i="6"/>
  <c r="F32" i="6"/>
  <c r="F27" i="6"/>
  <c r="F30" i="6"/>
  <c r="F29" i="6"/>
  <c r="F28" i="6"/>
  <c r="F33" i="6"/>
  <c r="F35" i="6"/>
  <c r="AF32" i="6"/>
  <c r="V32" i="6"/>
  <c r="Z32" i="6"/>
  <c r="AD32" i="6"/>
  <c r="AB32" i="6"/>
  <c r="X32" i="6"/>
  <c r="AF28" i="6"/>
  <c r="AD28" i="6"/>
  <c r="Z28" i="6"/>
  <c r="V28" i="6"/>
  <c r="AB28" i="6"/>
  <c r="X28" i="6"/>
  <c r="AF35" i="6"/>
  <c r="AB35" i="6"/>
  <c r="Z35" i="6"/>
  <c r="X35" i="6"/>
  <c r="AD35" i="6"/>
  <c r="V35" i="6"/>
  <c r="AB30" i="6"/>
  <c r="X30" i="6"/>
  <c r="AD30" i="6"/>
  <c r="AF30" i="6"/>
  <c r="V30" i="6"/>
  <c r="Z30" i="6"/>
  <c r="AD34" i="6"/>
  <c r="V34" i="6"/>
  <c r="AB34" i="6"/>
  <c r="X34" i="6"/>
  <c r="Z34" i="6"/>
  <c r="AF34" i="6"/>
  <c r="AF29" i="6"/>
  <c r="X29" i="6"/>
  <c r="AD29" i="6"/>
  <c r="AB29" i="6"/>
  <c r="Z29" i="6"/>
  <c r="V29" i="6"/>
  <c r="Z33" i="6"/>
  <c r="AF33" i="6"/>
  <c r="V33" i="6"/>
  <c r="X33" i="6"/>
  <c r="AB33" i="6"/>
  <c r="AD33" i="6"/>
  <c r="AB27" i="6"/>
  <c r="X27" i="6"/>
  <c r="Z27" i="6"/>
  <c r="V27" i="6"/>
  <c r="AF27" i="6"/>
  <c r="AD27" i="6"/>
  <c r="O27" i="5"/>
  <c r="V31" i="6"/>
  <c r="AF31" i="6"/>
  <c r="X31" i="6"/>
  <c r="AB31" i="6"/>
  <c r="Z31" i="6"/>
  <c r="AD31" i="6"/>
  <c r="X36" i="6"/>
  <c r="AB36" i="6"/>
  <c r="AD36" i="6"/>
  <c r="Z36" i="6"/>
  <c r="AF36" i="6"/>
  <c r="V36" i="6"/>
  <c r="AB14" i="6"/>
  <c r="X14" i="6"/>
  <c r="AK14" i="6"/>
  <c r="AD14" i="6"/>
  <c r="Z14" i="6"/>
  <c r="V14" i="6"/>
  <c r="AF14" i="6"/>
  <c r="AF5" i="6"/>
  <c r="AD5" i="6"/>
  <c r="AB5" i="6"/>
  <c r="X5" i="6"/>
  <c r="AK5" i="6"/>
  <c r="Z5" i="6"/>
  <c r="V5" i="6"/>
  <c r="AK8" i="6"/>
  <c r="AB8" i="6"/>
  <c r="X8" i="6"/>
  <c r="Z8" i="6"/>
  <c r="AF8" i="6"/>
  <c r="V8" i="6"/>
  <c r="AD8" i="6"/>
  <c r="AD11" i="6"/>
  <c r="V11" i="6"/>
  <c r="Z11" i="6"/>
  <c r="AF11" i="6"/>
  <c r="AK11" i="6"/>
  <c r="X11" i="6"/>
  <c r="AB11" i="6"/>
  <c r="AB6" i="6"/>
  <c r="X6" i="6"/>
  <c r="V6" i="6"/>
  <c r="AK6" i="6"/>
  <c r="AD6" i="6"/>
  <c r="Z6" i="6"/>
  <c r="AF6" i="6"/>
  <c r="AB10" i="6"/>
  <c r="X10" i="6"/>
  <c r="Z10" i="6"/>
  <c r="V10" i="6"/>
  <c r="AK10" i="6"/>
  <c r="AD10" i="6"/>
  <c r="AF10" i="6"/>
  <c r="V12" i="6"/>
  <c r="Z12" i="6"/>
  <c r="X12" i="6"/>
  <c r="AF12" i="6"/>
  <c r="AK12" i="6"/>
  <c r="AB12" i="6"/>
  <c r="AD12" i="6"/>
  <c r="AD13" i="6"/>
  <c r="AF13" i="6"/>
  <c r="AB13" i="6"/>
  <c r="X13" i="6"/>
  <c r="AK13" i="6"/>
  <c r="Z13" i="6"/>
  <c r="V13" i="6"/>
  <c r="AF9" i="6"/>
  <c r="AB9" i="6"/>
  <c r="X9" i="6"/>
  <c r="V9" i="6"/>
  <c r="AD9" i="6"/>
  <c r="Z9" i="6"/>
  <c r="AK9" i="6"/>
  <c r="AD7" i="6"/>
  <c r="AK7" i="6"/>
  <c r="AF7" i="6"/>
  <c r="Z7" i="6"/>
  <c r="V7" i="6"/>
  <c r="AB7" i="6"/>
  <c r="X7" i="6"/>
  <c r="C5" i="2"/>
  <c r="F7" i="6"/>
  <c r="F13" i="6"/>
  <c r="F12" i="6"/>
  <c r="F8" i="6"/>
  <c r="F9" i="6"/>
  <c r="F5" i="6"/>
  <c r="F6" i="6"/>
  <c r="F10" i="6"/>
  <c r="F14" i="6"/>
  <c r="F11" i="6"/>
  <c r="V26" i="5"/>
  <c r="E29" i="5"/>
  <c r="G57" i="5" s="1"/>
  <c r="O30" i="5"/>
  <c r="N28" i="5"/>
  <c r="N26" i="5"/>
  <c r="V31" i="5"/>
  <c r="E30" i="5"/>
  <c r="G58" i="5" s="1"/>
  <c r="V34" i="5"/>
  <c r="E33" i="5"/>
  <c r="V25" i="5"/>
  <c r="N31" i="5"/>
  <c r="E31" i="5"/>
  <c r="V27" i="5"/>
  <c r="C3" i="5"/>
  <c r="E27" i="5"/>
  <c r="N34" i="5"/>
  <c r="E32" i="5"/>
  <c r="G60" i="5" s="1"/>
  <c r="E26" i="5"/>
  <c r="V33" i="5"/>
  <c r="N30" i="5"/>
  <c r="E25" i="5"/>
  <c r="G53" i="5" s="1"/>
  <c r="E34" i="5"/>
  <c r="G48" i="5" s="1"/>
  <c r="E28" i="5"/>
  <c r="G56" i="5" s="1"/>
  <c r="N33" i="5"/>
  <c r="Q49" i="5"/>
  <c r="Y49" i="5"/>
  <c r="Y63" i="5"/>
  <c r="Q63" i="5"/>
  <c r="Z62" i="5"/>
  <c r="Z63" i="5" s="1"/>
  <c r="P49" i="5"/>
  <c r="R54" i="5"/>
  <c r="R63" i="5" s="1"/>
  <c r="R42" i="5"/>
  <c r="R49" i="5" s="1"/>
  <c r="V28" i="5"/>
  <c r="N25" i="5"/>
  <c r="V29" i="5"/>
  <c r="N32" i="5"/>
  <c r="N27" i="5"/>
  <c r="V30" i="5"/>
  <c r="N29" i="5"/>
  <c r="H55" i="5"/>
  <c r="H43" i="5"/>
  <c r="Z49" i="5"/>
  <c r="O49" i="5"/>
  <c r="V49" i="5"/>
  <c r="W49" i="5"/>
  <c r="H57" i="5"/>
  <c r="H48" i="5"/>
  <c r="H41" i="5"/>
  <c r="H45" i="5" l="1"/>
  <c r="H60" i="5"/>
  <c r="H56" i="5"/>
  <c r="H58" i="5"/>
  <c r="W35" i="5"/>
  <c r="H53" i="5"/>
  <c r="O35" i="5"/>
  <c r="H47" i="5"/>
  <c r="V37" i="6"/>
  <c r="G39" i="5"/>
  <c r="I39" i="5" s="1"/>
  <c r="F35" i="5"/>
  <c r="H40" i="5"/>
  <c r="X37" i="6"/>
  <c r="Y30" i="6"/>
  <c r="AA30" i="6"/>
  <c r="AC30" i="6"/>
  <c r="AG30" i="6"/>
  <c r="AE30" i="6"/>
  <c r="W30" i="6"/>
  <c r="AF15" i="6"/>
  <c r="AE29" i="6"/>
  <c r="Y29" i="6"/>
  <c r="AC29" i="6"/>
  <c r="W29" i="6"/>
  <c r="AA29" i="6"/>
  <c r="AG29" i="6"/>
  <c r="AA27" i="6"/>
  <c r="Y27" i="6"/>
  <c r="W27" i="6"/>
  <c r="AE27" i="6"/>
  <c r="AG27" i="6"/>
  <c r="AC27" i="6"/>
  <c r="AG28" i="6"/>
  <c r="AE28" i="6"/>
  <c r="AA28" i="6"/>
  <c r="Y28" i="6"/>
  <c r="AC28" i="6"/>
  <c r="W28" i="6"/>
  <c r="AE32" i="6"/>
  <c r="AA32" i="6"/>
  <c r="W32" i="6"/>
  <c r="AG32" i="6"/>
  <c r="Y32" i="6"/>
  <c r="AC32" i="6"/>
  <c r="Z37" i="6"/>
  <c r="Y31" i="6"/>
  <c r="AG31" i="6"/>
  <c r="AC31" i="6"/>
  <c r="AE31" i="6"/>
  <c r="AA31" i="6"/>
  <c r="W31" i="6"/>
  <c r="AB37" i="6"/>
  <c r="AD37" i="6"/>
  <c r="AA35" i="6"/>
  <c r="AG35" i="6"/>
  <c r="AC35" i="6"/>
  <c r="Y35" i="6"/>
  <c r="AE35" i="6"/>
  <c r="W35" i="6"/>
  <c r="AE34" i="6"/>
  <c r="AA34" i="6"/>
  <c r="AG34" i="6"/>
  <c r="AC34" i="6"/>
  <c r="Y34" i="6"/>
  <c r="W34" i="6"/>
  <c r="AF37" i="6"/>
  <c r="AC33" i="6"/>
  <c r="AG33" i="6"/>
  <c r="Y33" i="6"/>
  <c r="W33" i="6"/>
  <c r="AA33" i="6"/>
  <c r="AE33" i="6"/>
  <c r="AE36" i="6"/>
  <c r="AA36" i="6"/>
  <c r="W36" i="6"/>
  <c r="AG36" i="6"/>
  <c r="Y36" i="6"/>
  <c r="AC36" i="6"/>
  <c r="AC6" i="6"/>
  <c r="Y6" i="6"/>
  <c r="AL6" i="6"/>
  <c r="AM6" i="6" s="1"/>
  <c r="AG6" i="6"/>
  <c r="AE6" i="6"/>
  <c r="AA6" i="6"/>
  <c r="W6" i="6"/>
  <c r="AG5" i="6"/>
  <c r="AL5" i="6"/>
  <c r="W5" i="6"/>
  <c r="AA5" i="6"/>
  <c r="AC5" i="6"/>
  <c r="Y5" i="6"/>
  <c r="AE5" i="6"/>
  <c r="AC10" i="6"/>
  <c r="Y10" i="6"/>
  <c r="W10" i="6"/>
  <c r="AE10" i="6"/>
  <c r="AG10" i="6"/>
  <c r="AA10" i="6"/>
  <c r="AL10" i="6"/>
  <c r="AM10" i="6" s="1"/>
  <c r="AG9" i="6"/>
  <c r="AL9" i="6"/>
  <c r="AO9" i="6" s="1"/>
  <c r="W9" i="6"/>
  <c r="AC9" i="6"/>
  <c r="Y9" i="6"/>
  <c r="AA9" i="6"/>
  <c r="AE9" i="6"/>
  <c r="Z15" i="6"/>
  <c r="AA12" i="6"/>
  <c r="AE12" i="6"/>
  <c r="W12" i="6"/>
  <c r="AG12" i="6"/>
  <c r="AL12" i="6"/>
  <c r="AO12" i="6" s="1"/>
  <c r="AC12" i="6"/>
  <c r="Y12" i="6"/>
  <c r="X15" i="6"/>
  <c r="AE11" i="6"/>
  <c r="Y11" i="6"/>
  <c r="AC11" i="6"/>
  <c r="AA11" i="6"/>
  <c r="AL11" i="6"/>
  <c r="AO11" i="6" s="1"/>
  <c r="AG11" i="6"/>
  <c r="W11" i="6"/>
  <c r="AG13" i="6"/>
  <c r="AL13" i="6"/>
  <c r="AO13" i="6" s="1"/>
  <c r="AC13" i="6"/>
  <c r="Y13" i="6"/>
  <c r="AA13" i="6"/>
  <c r="AE13" i="6"/>
  <c r="W13" i="6"/>
  <c r="AB15" i="6"/>
  <c r="I53" i="5"/>
  <c r="AA8" i="6"/>
  <c r="AL8" i="6"/>
  <c r="AO8" i="6" s="1"/>
  <c r="AG8" i="6"/>
  <c r="W8" i="6"/>
  <c r="AE8" i="6"/>
  <c r="AC8" i="6"/>
  <c r="Y8" i="6"/>
  <c r="AC14" i="6"/>
  <c r="Y14" i="6"/>
  <c r="AL14" i="6"/>
  <c r="AO14" i="6" s="1"/>
  <c r="AE14" i="6"/>
  <c r="AA14" i="6"/>
  <c r="W14" i="6"/>
  <c r="AG14" i="6"/>
  <c r="AE7" i="6"/>
  <c r="AC7" i="6"/>
  <c r="AA7" i="6"/>
  <c r="Y7" i="6"/>
  <c r="W7" i="6"/>
  <c r="AG7" i="6"/>
  <c r="AL7" i="6"/>
  <c r="AO7" i="6" s="1"/>
  <c r="AK15" i="6"/>
  <c r="E10" i="9" s="1"/>
  <c r="AD15" i="6"/>
  <c r="AN9" i="6"/>
  <c r="AN13" i="6"/>
  <c r="AN8" i="6"/>
  <c r="AN14" i="6"/>
  <c r="AN11" i="6"/>
  <c r="AN7" i="6"/>
  <c r="G62" i="5"/>
  <c r="I62" i="5" s="1"/>
  <c r="AN5" i="6"/>
  <c r="AN10" i="6"/>
  <c r="V15" i="6"/>
  <c r="G42" i="5"/>
  <c r="I42" i="5" s="1"/>
  <c r="G46" i="5"/>
  <c r="I46" i="5" s="1"/>
  <c r="AN12" i="6"/>
  <c r="AN6" i="6"/>
  <c r="G44" i="5"/>
  <c r="I44" i="5" s="1"/>
  <c r="G40" i="5"/>
  <c r="G45" i="5"/>
  <c r="I45" i="5" s="1"/>
  <c r="G47" i="5"/>
  <c r="E35" i="5"/>
  <c r="G54" i="5"/>
  <c r="I54" i="5" s="1"/>
  <c r="G43" i="5"/>
  <c r="I43" i="5" s="1"/>
  <c r="G61" i="5"/>
  <c r="I61" i="5" s="1"/>
  <c r="G59" i="5"/>
  <c r="I59" i="5" s="1"/>
  <c r="G41" i="5"/>
  <c r="I41" i="5" s="1"/>
  <c r="G55" i="5"/>
  <c r="I55" i="5" s="1"/>
  <c r="V35" i="5"/>
  <c r="N35" i="5"/>
  <c r="I60" i="5"/>
  <c r="I56" i="5"/>
  <c r="I57" i="5"/>
  <c r="I48" i="5"/>
  <c r="I47" i="5" l="1"/>
  <c r="AO6" i="6"/>
  <c r="H63" i="5"/>
  <c r="G14" i="5" s="1"/>
  <c r="I58" i="5"/>
  <c r="AO10" i="6"/>
  <c r="H49" i="5"/>
  <c r="D14" i="5" s="1"/>
  <c r="I40" i="5"/>
  <c r="I49" i="5" s="1"/>
  <c r="Y37" i="6"/>
  <c r="AP7" i="6"/>
  <c r="AC37" i="6"/>
  <c r="AG37" i="6"/>
  <c r="AG15" i="6"/>
  <c r="AE37" i="6"/>
  <c r="AA37" i="6"/>
  <c r="W37" i="6"/>
  <c r="AP11" i="6"/>
  <c r="AE15" i="6"/>
  <c r="Y15" i="6"/>
  <c r="AC15" i="6"/>
  <c r="AA15" i="6"/>
  <c r="AP10" i="6"/>
  <c r="AP6" i="6"/>
  <c r="W15" i="6"/>
  <c r="AM11" i="6"/>
  <c r="AM7" i="6"/>
  <c r="AP14" i="6"/>
  <c r="AP8" i="6"/>
  <c r="AM8" i="6"/>
  <c r="AM13" i="6"/>
  <c r="AO5" i="6"/>
  <c r="AO15" i="6" s="1"/>
  <c r="F11" i="9" s="1"/>
  <c r="AL15" i="6"/>
  <c r="E11" i="9" s="1"/>
  <c r="AM12" i="6"/>
  <c r="AN15" i="6"/>
  <c r="F10" i="9" s="1"/>
  <c r="AP13" i="6"/>
  <c r="AP9" i="6"/>
  <c r="AM14" i="6"/>
  <c r="AM5" i="6"/>
  <c r="AP12" i="6"/>
  <c r="AM9" i="6"/>
  <c r="G49" i="5"/>
  <c r="D13" i="5" s="1"/>
  <c r="G63" i="5"/>
  <c r="G13" i="5" s="1"/>
  <c r="G15" i="5" s="1"/>
  <c r="G18" i="5" s="1"/>
  <c r="I63" i="5"/>
  <c r="D15" i="5" l="1"/>
  <c r="D18" i="5" s="1"/>
  <c r="F12" i="9"/>
  <c r="H34" i="9" s="1"/>
  <c r="E12" i="9"/>
  <c r="H33" i="9" s="1"/>
  <c r="AP5" i="6"/>
  <c r="AP15" i="6" s="1"/>
  <c r="AM15" i="6"/>
  <c r="D4" i="2"/>
  <c r="D3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4" i="2"/>
  <c r="N132" i="2" l="1"/>
  <c r="N124" i="2"/>
  <c r="N116" i="2"/>
  <c r="N108" i="2"/>
  <c r="N100" i="2"/>
  <c r="N92" i="2"/>
  <c r="N84" i="2"/>
  <c r="N76" i="2"/>
  <c r="N68" i="2"/>
  <c r="N60" i="2"/>
  <c r="N52" i="2"/>
  <c r="N44" i="2"/>
  <c r="N36" i="2"/>
  <c r="N28" i="2"/>
  <c r="N20" i="2"/>
  <c r="N12" i="2"/>
  <c r="N131" i="2"/>
  <c r="N123" i="2"/>
  <c r="N115" i="2"/>
  <c r="N107" i="2"/>
  <c r="N99" i="2"/>
  <c r="N91" i="2"/>
  <c r="N83" i="2"/>
  <c r="N75" i="2"/>
  <c r="N67" i="2"/>
  <c r="N59" i="2"/>
  <c r="N51" i="2"/>
  <c r="N43" i="2"/>
  <c r="N35" i="2"/>
  <c r="N27" i="2"/>
  <c r="N19" i="2"/>
  <c r="N11" i="2"/>
  <c r="F22" i="2"/>
  <c r="F18" i="2"/>
  <c r="F14" i="2"/>
  <c r="C5" i="9"/>
  <c r="F21" i="2"/>
  <c r="F17" i="2"/>
  <c r="F20" i="2"/>
  <c r="F16" i="2"/>
  <c r="F23" i="2"/>
  <c r="F19" i="2"/>
  <c r="F15" i="2"/>
  <c r="E23" i="2"/>
  <c r="E19" i="2"/>
  <c r="E15" i="2"/>
  <c r="C4" i="9"/>
  <c r="E22" i="2"/>
  <c r="E18" i="2"/>
  <c r="E14" i="2"/>
  <c r="E21" i="2"/>
  <c r="E17" i="2"/>
  <c r="E20" i="2"/>
  <c r="E16" i="2"/>
  <c r="N122" i="2"/>
  <c r="N130" i="2"/>
  <c r="N121" i="2"/>
  <c r="N113" i="2"/>
  <c r="N105" i="2"/>
  <c r="N97" i="2"/>
  <c r="N89" i="2"/>
  <c r="N81" i="2"/>
  <c r="N73" i="2"/>
  <c r="N65" i="2"/>
  <c r="N57" i="2"/>
  <c r="N49" i="2"/>
  <c r="N41" i="2"/>
  <c r="N33" i="2"/>
  <c r="N25" i="2"/>
  <c r="N17" i="2"/>
  <c r="N9" i="2"/>
  <c r="N129" i="2"/>
  <c r="D5" i="2"/>
  <c r="N133" i="2"/>
  <c r="N125" i="2"/>
  <c r="N117" i="2"/>
  <c r="N109" i="2"/>
  <c r="N101" i="2"/>
  <c r="N93" i="2"/>
  <c r="N85" i="2"/>
  <c r="N77" i="2"/>
  <c r="N69" i="2"/>
  <c r="N61" i="2"/>
  <c r="N53" i="2"/>
  <c r="N45" i="2"/>
  <c r="N37" i="2"/>
  <c r="N29" i="2"/>
  <c r="N21" i="2"/>
  <c r="N13" i="2"/>
  <c r="N5" i="2"/>
  <c r="N16" i="2"/>
  <c r="N8" i="2"/>
  <c r="N128" i="2"/>
  <c r="N112" i="2"/>
  <c r="N96" i="2"/>
  <c r="N88" i="2"/>
  <c r="N80" i="2"/>
  <c r="N72" i="2"/>
  <c r="N64" i="2"/>
  <c r="N56" i="2"/>
  <c r="N48" i="2"/>
  <c r="N40" i="2"/>
  <c r="N32" i="2"/>
  <c r="N24" i="2"/>
  <c r="N120" i="2"/>
  <c r="N104" i="2"/>
  <c r="N114" i="2"/>
  <c r="N106" i="2"/>
  <c r="N98" i="2"/>
  <c r="N90" i="2"/>
  <c r="N82" i="2"/>
  <c r="N74" i="2"/>
  <c r="N66" i="2"/>
  <c r="N58" i="2"/>
  <c r="N50" i="2"/>
  <c r="N42" i="2"/>
  <c r="N34" i="2"/>
  <c r="N26" i="2"/>
  <c r="N18" i="2"/>
  <c r="N10" i="2"/>
  <c r="N119" i="2"/>
  <c r="N103" i="2"/>
  <c r="N95" i="2"/>
  <c r="N87" i="2"/>
  <c r="N79" i="2"/>
  <c r="N71" i="2"/>
  <c r="N63" i="2"/>
  <c r="N55" i="2"/>
  <c r="N47" i="2"/>
  <c r="N39" i="2"/>
  <c r="N31" i="2"/>
  <c r="N23" i="2"/>
  <c r="N15" i="2"/>
  <c r="N7" i="2"/>
  <c r="N127" i="2"/>
  <c r="N111" i="2"/>
  <c r="N4" i="2"/>
  <c r="N126" i="2"/>
  <c r="N118" i="2"/>
  <c r="N110" i="2"/>
  <c r="N102" i="2"/>
  <c r="N94" i="2"/>
  <c r="N86" i="2"/>
  <c r="N78" i="2"/>
  <c r="N70" i="2"/>
  <c r="N62" i="2"/>
  <c r="N54" i="2"/>
  <c r="N46" i="2"/>
  <c r="N38" i="2"/>
  <c r="N30" i="2"/>
  <c r="N22" i="2"/>
  <c r="N14" i="2"/>
  <c r="N6" i="2"/>
  <c r="Q25" i="2"/>
  <c r="Q33" i="2"/>
  <c r="Q26" i="2"/>
  <c r="Q27" i="2"/>
  <c r="Q30" i="2"/>
  <c r="Q24" i="2"/>
  <c r="Q28" i="2"/>
  <c r="Q32" i="2"/>
  <c r="Q29" i="2"/>
  <c r="Q31" i="2"/>
  <c r="Q105" i="2"/>
  <c r="Q113" i="2"/>
  <c r="Q106" i="2"/>
  <c r="Q110" i="2"/>
  <c r="Q104" i="2"/>
  <c r="Q107" i="2"/>
  <c r="Q112" i="2"/>
  <c r="Q108" i="2"/>
  <c r="Q109" i="2"/>
  <c r="Q111" i="2"/>
  <c r="Q129" i="2"/>
  <c r="Q126" i="2"/>
  <c r="Q130" i="2"/>
  <c r="Q131" i="2"/>
  <c r="Q124" i="2"/>
  <c r="Q132" i="2"/>
  <c r="Q127" i="2"/>
  <c r="Q128" i="2"/>
  <c r="Q125" i="2"/>
  <c r="Q133" i="2"/>
  <c r="Q121" i="2"/>
  <c r="Q119" i="2"/>
  <c r="Q120" i="2"/>
  <c r="Q114" i="2"/>
  <c r="Q122" i="2"/>
  <c r="Q115" i="2"/>
  <c r="Q123" i="2"/>
  <c r="Q118" i="2"/>
  <c r="Q116" i="2"/>
  <c r="Q117" i="2"/>
  <c r="Q9" i="2"/>
  <c r="Q6" i="2"/>
  <c r="Q10" i="2"/>
  <c r="Q8" i="2"/>
  <c r="Q11" i="2"/>
  <c r="Q12" i="2"/>
  <c r="Q7" i="2"/>
  <c r="Q5" i="2"/>
  <c r="Q13" i="2"/>
  <c r="Q4" i="2"/>
  <c r="Q65" i="2"/>
  <c r="Q73" i="2"/>
  <c r="Q66" i="2"/>
  <c r="Q70" i="2"/>
  <c r="Q72" i="2"/>
  <c r="Q67" i="2"/>
  <c r="Q68" i="2"/>
  <c r="Q64" i="2"/>
  <c r="Q69" i="2"/>
  <c r="Q71" i="2"/>
  <c r="Q49" i="2"/>
  <c r="Q46" i="2"/>
  <c r="Q50" i="2"/>
  <c r="Q51" i="2"/>
  <c r="Q48" i="2"/>
  <c r="Q44" i="2"/>
  <c r="Q52" i="2"/>
  <c r="Q47" i="2"/>
  <c r="Q45" i="2"/>
  <c r="Q53" i="2"/>
  <c r="Q81" i="2"/>
  <c r="Q79" i="2"/>
  <c r="Q74" i="2"/>
  <c r="Q82" i="2"/>
  <c r="Q75" i="2"/>
  <c r="Q83" i="2"/>
  <c r="Q78" i="2"/>
  <c r="Q80" i="2"/>
  <c r="Q76" i="2"/>
  <c r="Q77" i="2"/>
  <c r="Q57" i="2"/>
  <c r="Q56" i="2"/>
  <c r="Q58" i="2"/>
  <c r="Q55" i="2"/>
  <c r="Q59" i="2"/>
  <c r="Q63" i="2"/>
  <c r="Q60" i="2"/>
  <c r="Q62" i="2"/>
  <c r="Q61" i="2"/>
  <c r="Q54" i="2"/>
  <c r="Q17" i="2"/>
  <c r="Q16" i="2"/>
  <c r="Q18" i="2"/>
  <c r="Q23" i="2"/>
  <c r="Q19" i="2"/>
  <c r="Q15" i="2"/>
  <c r="Q20" i="2"/>
  <c r="Q14" i="2"/>
  <c r="Q21" i="2"/>
  <c r="Q22" i="2"/>
  <c r="Q97" i="2"/>
  <c r="Q98" i="2"/>
  <c r="Q103" i="2"/>
  <c r="Q99" i="2"/>
  <c r="Q95" i="2"/>
  <c r="Q100" i="2"/>
  <c r="Q102" i="2"/>
  <c r="Q96" i="2"/>
  <c r="Q101" i="2"/>
  <c r="Q94" i="2"/>
  <c r="Q41" i="2"/>
  <c r="Q39" i="2"/>
  <c r="Q34" i="2"/>
  <c r="Q42" i="2"/>
  <c r="Q38" i="2"/>
  <c r="Q40" i="2"/>
  <c r="Q35" i="2"/>
  <c r="Q43" i="2"/>
  <c r="Q36" i="2"/>
  <c r="Q37" i="2"/>
  <c r="Q89" i="2"/>
  <c r="Q86" i="2"/>
  <c r="Q88" i="2"/>
  <c r="Q90" i="2"/>
  <c r="Q91" i="2"/>
  <c r="Q84" i="2"/>
  <c r="Q92" i="2"/>
  <c r="Q87" i="2"/>
  <c r="Q85" i="2"/>
  <c r="Q93" i="2"/>
  <c r="C6" i="9" l="1"/>
  <c r="F24" i="2"/>
  <c r="E24" i="2"/>
  <c r="S85" i="2"/>
  <c r="R85" i="2"/>
  <c r="S20" i="2"/>
  <c r="R20" i="2"/>
  <c r="S48" i="2"/>
  <c r="R48" i="2"/>
  <c r="S9" i="2"/>
  <c r="R9" i="2"/>
  <c r="S112" i="2"/>
  <c r="R112" i="2"/>
  <c r="S25" i="2"/>
  <c r="R25" i="2"/>
  <c r="R87" i="2"/>
  <c r="S87" i="2"/>
  <c r="S37" i="2"/>
  <c r="R37" i="2"/>
  <c r="S39" i="2"/>
  <c r="R39" i="2"/>
  <c r="R99" i="2"/>
  <c r="S99" i="2"/>
  <c r="S15" i="2"/>
  <c r="R15" i="2"/>
  <c r="S62" i="2"/>
  <c r="R62" i="2"/>
  <c r="S77" i="2"/>
  <c r="R77" i="2"/>
  <c r="S79" i="2"/>
  <c r="R79" i="2"/>
  <c r="R51" i="2"/>
  <c r="S51" i="2"/>
  <c r="R67" i="2"/>
  <c r="S67" i="2"/>
  <c r="S5" i="2"/>
  <c r="R5" i="2"/>
  <c r="S117" i="2"/>
  <c r="R117" i="2"/>
  <c r="R119" i="2"/>
  <c r="S119" i="2"/>
  <c r="S131" i="2"/>
  <c r="R131" i="2"/>
  <c r="S107" i="2"/>
  <c r="R107" i="2"/>
  <c r="S32" i="2"/>
  <c r="R32" i="2"/>
  <c r="R34" i="2"/>
  <c r="S34" i="2"/>
  <c r="S120" i="2"/>
  <c r="R120" i="2"/>
  <c r="R19" i="2"/>
  <c r="S19" i="2"/>
  <c r="R7" i="2"/>
  <c r="S7" i="2"/>
  <c r="S104" i="2"/>
  <c r="R104" i="2"/>
  <c r="R23" i="2"/>
  <c r="S23" i="2"/>
  <c r="S70" i="2"/>
  <c r="R70" i="2"/>
  <c r="S110" i="2"/>
  <c r="R110" i="2"/>
  <c r="S24" i="2"/>
  <c r="R24" i="2"/>
  <c r="S74" i="2"/>
  <c r="R74" i="2"/>
  <c r="S29" i="2"/>
  <c r="R29" i="2"/>
  <c r="S41" i="2"/>
  <c r="R41" i="2"/>
  <c r="R50" i="2"/>
  <c r="S50" i="2"/>
  <c r="S116" i="2"/>
  <c r="R116" i="2"/>
  <c r="S28" i="2"/>
  <c r="R28" i="2"/>
  <c r="S84" i="2"/>
  <c r="R84" i="2"/>
  <c r="S53" i="2"/>
  <c r="R53" i="2"/>
  <c r="S126" i="2"/>
  <c r="R126" i="2"/>
  <c r="S101" i="2"/>
  <c r="R101" i="2"/>
  <c r="R59" i="2"/>
  <c r="S59" i="2"/>
  <c r="S78" i="2"/>
  <c r="R78" i="2"/>
  <c r="S45" i="2"/>
  <c r="R45" i="2"/>
  <c r="S49" i="2"/>
  <c r="R49" i="2"/>
  <c r="R66" i="2"/>
  <c r="S66" i="2"/>
  <c r="R11" i="2"/>
  <c r="S11" i="2"/>
  <c r="R123" i="2"/>
  <c r="S123" i="2"/>
  <c r="S125" i="2"/>
  <c r="R125" i="2"/>
  <c r="S129" i="2"/>
  <c r="R129" i="2"/>
  <c r="S106" i="2"/>
  <c r="R106" i="2"/>
  <c r="R30" i="2"/>
  <c r="S30" i="2"/>
  <c r="S57" i="2"/>
  <c r="R57" i="2"/>
  <c r="S124" i="2"/>
  <c r="R124" i="2"/>
  <c r="S60" i="2"/>
  <c r="R60" i="2"/>
  <c r="S72" i="2"/>
  <c r="R72" i="2"/>
  <c r="S94" i="2"/>
  <c r="R94" i="2"/>
  <c r="S80" i="2"/>
  <c r="R80" i="2"/>
  <c r="S133" i="2"/>
  <c r="R133" i="2"/>
  <c r="R35" i="2"/>
  <c r="S35" i="2"/>
  <c r="S96" i="2"/>
  <c r="R96" i="2"/>
  <c r="S55" i="2"/>
  <c r="R55" i="2"/>
  <c r="S71" i="2"/>
  <c r="R71" i="2"/>
  <c r="S8" i="2"/>
  <c r="R8" i="2"/>
  <c r="R115" i="2"/>
  <c r="S115" i="2"/>
  <c r="S128" i="2"/>
  <c r="R128" i="2"/>
  <c r="R111" i="2"/>
  <c r="S111" i="2"/>
  <c r="S113" i="2"/>
  <c r="R113" i="2"/>
  <c r="R27" i="2"/>
  <c r="S27" i="2"/>
  <c r="R95" i="2"/>
  <c r="S95" i="2"/>
  <c r="S68" i="2"/>
  <c r="R68" i="2"/>
  <c r="S36" i="2"/>
  <c r="R36" i="2"/>
  <c r="S76" i="2"/>
  <c r="R76" i="2"/>
  <c r="S130" i="2"/>
  <c r="R130" i="2"/>
  <c r="R43" i="2"/>
  <c r="S43" i="2"/>
  <c r="R63" i="2"/>
  <c r="S63" i="2"/>
  <c r="S12" i="2"/>
  <c r="R12" i="2"/>
  <c r="R18" i="2"/>
  <c r="S18" i="2"/>
  <c r="S90" i="2"/>
  <c r="R90" i="2"/>
  <c r="R22" i="2"/>
  <c r="S22" i="2"/>
  <c r="R83" i="2"/>
  <c r="S83" i="2"/>
  <c r="R38" i="2"/>
  <c r="S38" i="2"/>
  <c r="S17" i="2"/>
  <c r="R17" i="2"/>
  <c r="S52" i="2"/>
  <c r="R52" i="2"/>
  <c r="S65" i="2"/>
  <c r="R65" i="2"/>
  <c r="S122" i="2"/>
  <c r="R122" i="2"/>
  <c r="S109" i="2"/>
  <c r="R109" i="2"/>
  <c r="S105" i="2"/>
  <c r="R105" i="2"/>
  <c r="S26" i="2"/>
  <c r="R26" i="2"/>
  <c r="S89" i="2"/>
  <c r="R89" i="2"/>
  <c r="S61" i="2"/>
  <c r="R61" i="2"/>
  <c r="S13" i="2"/>
  <c r="R13" i="2"/>
  <c r="S92" i="2"/>
  <c r="R92" i="2"/>
  <c r="R103" i="2"/>
  <c r="S103" i="2"/>
  <c r="S81" i="2"/>
  <c r="R81" i="2"/>
  <c r="S121" i="2"/>
  <c r="R121" i="2"/>
  <c r="S98" i="2"/>
  <c r="R98" i="2"/>
  <c r="S46" i="2"/>
  <c r="R46" i="2"/>
  <c r="S118" i="2"/>
  <c r="R118" i="2"/>
  <c r="S91" i="2"/>
  <c r="R91" i="2"/>
  <c r="S97" i="2"/>
  <c r="R97" i="2"/>
  <c r="S40" i="2"/>
  <c r="R40" i="2"/>
  <c r="S16" i="2"/>
  <c r="R16" i="2"/>
  <c r="R47" i="2"/>
  <c r="S47" i="2"/>
  <c r="S73" i="2"/>
  <c r="R73" i="2"/>
  <c r="S88" i="2"/>
  <c r="R88" i="2"/>
  <c r="S102" i="2"/>
  <c r="R102" i="2"/>
  <c r="S21" i="2"/>
  <c r="R21" i="2"/>
  <c r="R58" i="2"/>
  <c r="S58" i="2"/>
  <c r="R75" i="2"/>
  <c r="S75" i="2"/>
  <c r="S69" i="2"/>
  <c r="R69" i="2"/>
  <c r="R10" i="2"/>
  <c r="S10" i="2"/>
  <c r="R127" i="2"/>
  <c r="S127" i="2"/>
  <c r="S93" i="2"/>
  <c r="R93" i="2"/>
  <c r="S86" i="2"/>
  <c r="R86" i="2"/>
  <c r="R42" i="2"/>
  <c r="S42" i="2"/>
  <c r="S100" i="2"/>
  <c r="R100" i="2"/>
  <c r="S14" i="2"/>
  <c r="R14" i="2"/>
  <c r="R54" i="2"/>
  <c r="S54" i="2"/>
  <c r="S56" i="2"/>
  <c r="R56" i="2"/>
  <c r="S82" i="2"/>
  <c r="R82" i="2"/>
  <c r="S44" i="2"/>
  <c r="R44" i="2"/>
  <c r="S64" i="2"/>
  <c r="R64" i="2"/>
  <c r="S4" i="2"/>
  <c r="R4" i="2"/>
  <c r="R6" i="2"/>
  <c r="S6" i="2"/>
  <c r="S114" i="2"/>
  <c r="R114" i="2"/>
  <c r="S132" i="2"/>
  <c r="R132" i="2"/>
  <c r="S108" i="2"/>
  <c r="R108" i="2"/>
  <c r="S31" i="2"/>
  <c r="R31" i="2"/>
  <c r="S33" i="2"/>
  <c r="R33" i="2"/>
  <c r="P34" i="5"/>
  <c r="X34" i="5"/>
  <c r="P33" i="5"/>
  <c r="X33" i="5"/>
  <c r="P25" i="5"/>
  <c r="G25" i="5"/>
  <c r="X25" i="5"/>
  <c r="P31" i="5"/>
  <c r="X31" i="5"/>
  <c r="H28" i="5"/>
  <c r="Q28" i="5"/>
  <c r="Y28" i="5"/>
  <c r="G32" i="5"/>
  <c r="P32" i="5"/>
  <c r="X32" i="5"/>
  <c r="P28" i="5"/>
  <c r="X28" i="5"/>
  <c r="Y25" i="5"/>
  <c r="Q25" i="5"/>
  <c r="Q31" i="5"/>
  <c r="Y31" i="5"/>
  <c r="H29" i="5"/>
  <c r="Q29" i="5"/>
  <c r="Y29" i="5"/>
  <c r="H30" i="5"/>
  <c r="Q30" i="5"/>
  <c r="Y30" i="5"/>
  <c r="P27" i="5"/>
  <c r="X27" i="5"/>
  <c r="G30" i="5"/>
  <c r="X30" i="5"/>
  <c r="P30" i="5"/>
  <c r="H27" i="5"/>
  <c r="Q27" i="5"/>
  <c r="Y27" i="5"/>
  <c r="Y34" i="5"/>
  <c r="Q34" i="5"/>
  <c r="P26" i="5"/>
  <c r="X26" i="5"/>
  <c r="X29" i="5"/>
  <c r="P29" i="5"/>
  <c r="Y32" i="5"/>
  <c r="Q32" i="5"/>
  <c r="Q33" i="5"/>
  <c r="Y33" i="5"/>
  <c r="Q26" i="5"/>
  <c r="Y26" i="5"/>
  <c r="G27" i="5"/>
  <c r="G29" i="5"/>
  <c r="H32" i="5"/>
  <c r="G28" i="5"/>
  <c r="I28" i="5" s="1"/>
  <c r="H31" i="5"/>
  <c r="H33" i="5"/>
  <c r="G34" i="5"/>
  <c r="H25" i="5"/>
  <c r="G33" i="5"/>
  <c r="G26" i="5"/>
  <c r="G31" i="5"/>
  <c r="H34" i="5"/>
  <c r="H26" i="5"/>
  <c r="O33" i="6" l="1"/>
  <c r="Q33" i="6"/>
  <c r="M33" i="6"/>
  <c r="U33" i="6"/>
  <c r="K33" i="6"/>
  <c r="S33" i="6"/>
  <c r="L31" i="6"/>
  <c r="T31" i="6"/>
  <c r="N31" i="6"/>
  <c r="P31" i="6"/>
  <c r="J31" i="6"/>
  <c r="R31" i="6"/>
  <c r="K27" i="6"/>
  <c r="S27" i="6"/>
  <c r="M27" i="6"/>
  <c r="U27" i="6"/>
  <c r="O27" i="6"/>
  <c r="Q27" i="6"/>
  <c r="K36" i="6"/>
  <c r="S36" i="6"/>
  <c r="M36" i="6"/>
  <c r="U36" i="6"/>
  <c r="O36" i="6"/>
  <c r="Q36" i="6"/>
  <c r="K31" i="6"/>
  <c r="S31" i="6"/>
  <c r="Q31" i="6"/>
  <c r="M31" i="6"/>
  <c r="U31" i="6"/>
  <c r="O31" i="6"/>
  <c r="M32" i="6"/>
  <c r="U32" i="6"/>
  <c r="K32" i="6"/>
  <c r="O32" i="6"/>
  <c r="Q32" i="6"/>
  <c r="S32" i="6"/>
  <c r="O34" i="6"/>
  <c r="M34" i="6"/>
  <c r="Q34" i="6"/>
  <c r="K34" i="6"/>
  <c r="S34" i="6"/>
  <c r="U34" i="6"/>
  <c r="N32" i="6"/>
  <c r="J32" i="6"/>
  <c r="R32" i="6"/>
  <c r="P32" i="6"/>
  <c r="L32" i="6"/>
  <c r="T32" i="6"/>
  <c r="T33" i="6"/>
  <c r="P33" i="6"/>
  <c r="J33" i="6"/>
  <c r="R33" i="6"/>
  <c r="L33" i="6"/>
  <c r="N33" i="6"/>
  <c r="P34" i="6"/>
  <c r="T34" i="6"/>
  <c r="J34" i="6"/>
  <c r="R34" i="6"/>
  <c r="L34" i="6"/>
  <c r="N34" i="6"/>
  <c r="R30" i="6"/>
  <c r="J30" i="6"/>
  <c r="L30" i="6"/>
  <c r="T30" i="6"/>
  <c r="N30" i="6"/>
  <c r="P30" i="6"/>
  <c r="J5" i="6"/>
  <c r="R27" i="6"/>
  <c r="P27" i="6"/>
  <c r="L27" i="6"/>
  <c r="T27" i="6"/>
  <c r="J27" i="6"/>
  <c r="N27" i="6"/>
  <c r="Q30" i="6"/>
  <c r="K30" i="6"/>
  <c r="S30" i="6"/>
  <c r="O30" i="6"/>
  <c r="M30" i="6"/>
  <c r="U30" i="6"/>
  <c r="Q29" i="6"/>
  <c r="K29" i="6"/>
  <c r="U29" i="6"/>
  <c r="S29" i="6"/>
  <c r="M29" i="6"/>
  <c r="O29" i="6"/>
  <c r="J35" i="6"/>
  <c r="R35" i="6"/>
  <c r="N35" i="6"/>
  <c r="L35" i="6"/>
  <c r="T35" i="6"/>
  <c r="P35" i="6"/>
  <c r="R28" i="6"/>
  <c r="N28" i="6"/>
  <c r="J28" i="6"/>
  <c r="P28" i="6"/>
  <c r="L28" i="6"/>
  <c r="T28" i="6"/>
  <c r="J36" i="6"/>
  <c r="R36" i="6"/>
  <c r="L36" i="6"/>
  <c r="T36" i="6"/>
  <c r="P36" i="6"/>
  <c r="N36" i="6"/>
  <c r="P29" i="6"/>
  <c r="R29" i="6"/>
  <c r="J29" i="6"/>
  <c r="N29" i="6"/>
  <c r="L29" i="6"/>
  <c r="T29" i="6"/>
  <c r="Q35" i="6"/>
  <c r="O35" i="6"/>
  <c r="K35" i="6"/>
  <c r="S35" i="6"/>
  <c r="M35" i="6"/>
  <c r="U35" i="6"/>
  <c r="M28" i="6"/>
  <c r="U28" i="6"/>
  <c r="S28" i="6"/>
  <c r="O28" i="6"/>
  <c r="K28" i="6"/>
  <c r="Q28" i="6"/>
  <c r="K11" i="6"/>
  <c r="S11" i="6"/>
  <c r="O11" i="6"/>
  <c r="U11" i="6"/>
  <c r="Q11" i="6"/>
  <c r="M11" i="6"/>
  <c r="J9" i="6"/>
  <c r="T9" i="6"/>
  <c r="P9" i="6"/>
  <c r="L9" i="6"/>
  <c r="R9" i="6"/>
  <c r="N9" i="6"/>
  <c r="N10" i="6"/>
  <c r="T10" i="6"/>
  <c r="P10" i="6"/>
  <c r="L10" i="6"/>
  <c r="R10" i="6"/>
  <c r="J10" i="6"/>
  <c r="U5" i="6"/>
  <c r="Q5" i="6"/>
  <c r="M5" i="6"/>
  <c r="S5" i="6"/>
  <c r="O5" i="6"/>
  <c r="K5" i="6"/>
  <c r="R11" i="6"/>
  <c r="N11" i="6"/>
  <c r="P11" i="6"/>
  <c r="L11" i="6"/>
  <c r="J11" i="6"/>
  <c r="T11" i="6"/>
  <c r="U14" i="6"/>
  <c r="Q14" i="6"/>
  <c r="M14" i="6"/>
  <c r="K14" i="6"/>
  <c r="S14" i="6"/>
  <c r="O14" i="6"/>
  <c r="U9" i="6"/>
  <c r="Q9" i="6"/>
  <c r="M9" i="6"/>
  <c r="K9" i="6"/>
  <c r="S9" i="6"/>
  <c r="O9" i="6"/>
  <c r="U10" i="6"/>
  <c r="Q10" i="6"/>
  <c r="M10" i="6"/>
  <c r="K10" i="6"/>
  <c r="S10" i="6"/>
  <c r="O10" i="6"/>
  <c r="J12" i="6"/>
  <c r="R12" i="6"/>
  <c r="N12" i="6"/>
  <c r="T12" i="6"/>
  <c r="P12" i="6"/>
  <c r="L12" i="6"/>
  <c r="S8" i="6"/>
  <c r="O8" i="6"/>
  <c r="K8" i="6"/>
  <c r="U8" i="6"/>
  <c r="Q8" i="6"/>
  <c r="M8" i="6"/>
  <c r="R134" i="2"/>
  <c r="C7" i="2" s="1"/>
  <c r="D7" i="2" s="1"/>
  <c r="D4" i="9" s="1"/>
  <c r="N5" i="6"/>
  <c r="T5" i="6"/>
  <c r="P5" i="6"/>
  <c r="L5" i="6"/>
  <c r="R5" i="6"/>
  <c r="J8" i="6"/>
  <c r="R8" i="6"/>
  <c r="N8" i="6"/>
  <c r="T8" i="6"/>
  <c r="P8" i="6"/>
  <c r="L8" i="6"/>
  <c r="S12" i="6"/>
  <c r="O12" i="6"/>
  <c r="K12" i="6"/>
  <c r="U12" i="6"/>
  <c r="Q12" i="6"/>
  <c r="M12" i="6"/>
  <c r="S7" i="6"/>
  <c r="O7" i="6"/>
  <c r="K7" i="6"/>
  <c r="U7" i="6"/>
  <c r="Q7" i="6"/>
  <c r="M7" i="6"/>
  <c r="N13" i="6"/>
  <c r="J13" i="6"/>
  <c r="T13" i="6"/>
  <c r="P13" i="6"/>
  <c r="L13" i="6"/>
  <c r="R13" i="6"/>
  <c r="R6" i="6"/>
  <c r="T6" i="6"/>
  <c r="P6" i="6"/>
  <c r="L6" i="6"/>
  <c r="N6" i="6"/>
  <c r="J6" i="6"/>
  <c r="T14" i="6"/>
  <c r="P14" i="6"/>
  <c r="L14" i="6"/>
  <c r="R14" i="6"/>
  <c r="N14" i="6"/>
  <c r="J14" i="6"/>
  <c r="P7" i="6"/>
  <c r="R7" i="6"/>
  <c r="N7" i="6"/>
  <c r="L7" i="6"/>
  <c r="J7" i="6"/>
  <c r="T7" i="6"/>
  <c r="U13" i="6"/>
  <c r="Q13" i="6"/>
  <c r="M13" i="6"/>
  <c r="K13" i="6"/>
  <c r="S13" i="6"/>
  <c r="O13" i="6"/>
  <c r="U6" i="6"/>
  <c r="Q6" i="6"/>
  <c r="M6" i="6"/>
  <c r="K6" i="6"/>
  <c r="S6" i="6"/>
  <c r="O6" i="6"/>
  <c r="S134" i="2"/>
  <c r="C8" i="2" s="1"/>
  <c r="I27" i="5"/>
  <c r="R28" i="5"/>
  <c r="I30" i="5"/>
  <c r="R30" i="5"/>
  <c r="I32" i="5"/>
  <c r="Z29" i="5"/>
  <c r="R31" i="5"/>
  <c r="Z30" i="5"/>
  <c r="Z32" i="5"/>
  <c r="Z28" i="5"/>
  <c r="I29" i="5"/>
  <c r="Z25" i="5"/>
  <c r="X35" i="5"/>
  <c r="R26" i="5"/>
  <c r="R32" i="5"/>
  <c r="Z27" i="5"/>
  <c r="R25" i="5"/>
  <c r="P35" i="5"/>
  <c r="R27" i="5"/>
  <c r="Z33" i="5"/>
  <c r="Z26" i="5"/>
  <c r="Q35" i="5"/>
  <c r="R33" i="5"/>
  <c r="Y35" i="5"/>
  <c r="Z34" i="5"/>
  <c r="R29" i="5"/>
  <c r="Z31" i="5"/>
  <c r="R34" i="5"/>
  <c r="I31" i="5"/>
  <c r="I26" i="5"/>
  <c r="G35" i="5"/>
  <c r="C13" i="5" s="1"/>
  <c r="I25" i="5"/>
  <c r="I33" i="5"/>
  <c r="H35" i="5"/>
  <c r="C14" i="5" s="1"/>
  <c r="I34" i="5"/>
  <c r="AI35" i="6" l="1"/>
  <c r="AL35" i="6" s="1"/>
  <c r="AO35" i="6" s="1"/>
  <c r="AI34" i="6"/>
  <c r="AL34" i="6" s="1"/>
  <c r="AO34" i="6" s="1"/>
  <c r="AI28" i="6"/>
  <c r="AL28" i="6" s="1"/>
  <c r="AO28" i="6" s="1"/>
  <c r="E4" i="9"/>
  <c r="J37" i="6"/>
  <c r="AH27" i="6"/>
  <c r="S37" i="6"/>
  <c r="O37" i="6"/>
  <c r="P37" i="6"/>
  <c r="K37" i="6"/>
  <c r="AI27" i="6"/>
  <c r="AI33" i="6"/>
  <c r="AL33" i="6" s="1"/>
  <c r="AO33" i="6" s="1"/>
  <c r="AH30" i="6"/>
  <c r="AH32" i="6"/>
  <c r="T37" i="6"/>
  <c r="AH35" i="6"/>
  <c r="AI30" i="6"/>
  <c r="AL30" i="6" s="1"/>
  <c r="AO30" i="6" s="1"/>
  <c r="AH33" i="6"/>
  <c r="AI36" i="6"/>
  <c r="AL36" i="6" s="1"/>
  <c r="AO36" i="6" s="1"/>
  <c r="AH31" i="6"/>
  <c r="AH28" i="6"/>
  <c r="L37" i="6"/>
  <c r="AH29" i="6"/>
  <c r="AH36" i="6"/>
  <c r="Q37" i="6"/>
  <c r="U37" i="6"/>
  <c r="M37" i="6"/>
  <c r="R37" i="6"/>
  <c r="AI29" i="6"/>
  <c r="AL29" i="6" s="1"/>
  <c r="AO29" i="6" s="1"/>
  <c r="N37" i="6"/>
  <c r="AH34" i="6"/>
  <c r="AI32" i="6"/>
  <c r="AL32" i="6" s="1"/>
  <c r="AO32" i="6" s="1"/>
  <c r="AI31" i="6"/>
  <c r="AL31" i="6" s="1"/>
  <c r="AO31" i="6" s="1"/>
  <c r="AI13" i="6"/>
  <c r="AH6" i="6"/>
  <c r="AI9" i="6"/>
  <c r="AI5" i="6"/>
  <c r="AH14" i="6"/>
  <c r="AH12" i="6"/>
  <c r="AI11" i="6"/>
  <c r="AH13" i="6"/>
  <c r="AH9" i="6"/>
  <c r="AI6" i="6"/>
  <c r="AI10" i="6"/>
  <c r="AH11" i="6"/>
  <c r="AH7" i="6"/>
  <c r="AI12" i="6"/>
  <c r="AH8" i="6"/>
  <c r="AH5" i="6"/>
  <c r="AI7" i="6"/>
  <c r="AI14" i="6"/>
  <c r="AH10" i="6"/>
  <c r="AI8" i="6"/>
  <c r="K15" i="6"/>
  <c r="T15" i="6"/>
  <c r="O15" i="6"/>
  <c r="M15" i="6"/>
  <c r="P15" i="6"/>
  <c r="Q15" i="6"/>
  <c r="N15" i="6"/>
  <c r="J15" i="6"/>
  <c r="U15" i="6"/>
  <c r="S15" i="6"/>
  <c r="C9" i="2"/>
  <c r="D8" i="2"/>
  <c r="D5" i="9" s="1"/>
  <c r="E5" i="9" s="1"/>
  <c r="R15" i="6"/>
  <c r="L15" i="6"/>
  <c r="R35" i="5"/>
  <c r="Z35" i="5"/>
  <c r="I35" i="5"/>
  <c r="H14" i="5"/>
  <c r="I14" i="5" s="1"/>
  <c r="E14" i="5"/>
  <c r="F14" i="5" s="1"/>
  <c r="C15" i="5"/>
  <c r="E13" i="5"/>
  <c r="F13" i="5" s="1"/>
  <c r="H13" i="5"/>
  <c r="I13" i="5" s="1"/>
  <c r="F5" i="9" l="1"/>
  <c r="I11" i="9" s="1"/>
  <c r="H11" i="9"/>
  <c r="D9" i="2"/>
  <c r="D6" i="9"/>
  <c r="C32" i="9" s="1"/>
  <c r="E6" i="9"/>
  <c r="F4" i="9"/>
  <c r="H10" i="9"/>
  <c r="AK33" i="6"/>
  <c r="AJ33" i="6"/>
  <c r="AK36" i="6"/>
  <c r="AJ36" i="6"/>
  <c r="AK35" i="6"/>
  <c r="AJ35" i="6"/>
  <c r="AK31" i="6"/>
  <c r="AJ31" i="6"/>
  <c r="AL27" i="6"/>
  <c r="AI37" i="6"/>
  <c r="D17" i="9" s="1"/>
  <c r="AK34" i="6"/>
  <c r="AJ34" i="6"/>
  <c r="AK29" i="6"/>
  <c r="AJ29" i="6"/>
  <c r="AK32" i="6"/>
  <c r="AJ32" i="6"/>
  <c r="AK27" i="6"/>
  <c r="AJ27" i="6"/>
  <c r="AH37" i="6"/>
  <c r="D16" i="9" s="1"/>
  <c r="G16" i="9" s="1"/>
  <c r="AK28" i="6"/>
  <c r="AJ28" i="6"/>
  <c r="AK30" i="6"/>
  <c r="AJ30" i="6"/>
  <c r="AJ6" i="6"/>
  <c r="AJ14" i="6"/>
  <c r="AJ12" i="6"/>
  <c r="AJ9" i="6"/>
  <c r="AJ7" i="6"/>
  <c r="AJ11" i="6"/>
  <c r="AJ13" i="6"/>
  <c r="AJ10" i="6"/>
  <c r="AI15" i="6"/>
  <c r="D11" i="9" s="1"/>
  <c r="G11" i="9" s="1"/>
  <c r="AJ5" i="6"/>
  <c r="AH15" i="6"/>
  <c r="D10" i="9" s="1"/>
  <c r="AJ8" i="6"/>
  <c r="C18" i="5"/>
  <c r="H15" i="5"/>
  <c r="I15" i="5" s="1"/>
  <c r="E15" i="5"/>
  <c r="F15" i="5" s="1"/>
  <c r="H12" i="9" l="1"/>
  <c r="C33" i="9"/>
  <c r="I33" i="9" s="1"/>
  <c r="J33" i="9" s="1"/>
  <c r="F6" i="9"/>
  <c r="I10" i="9"/>
  <c r="G10" i="9"/>
  <c r="D12" i="9"/>
  <c r="D18" i="9"/>
  <c r="G17" i="9"/>
  <c r="AN32" i="6"/>
  <c r="AP32" i="6" s="1"/>
  <c r="AM32" i="6"/>
  <c r="AN29" i="6"/>
  <c r="AP29" i="6" s="1"/>
  <c r="AM29" i="6"/>
  <c r="AN35" i="6"/>
  <c r="AP35" i="6" s="1"/>
  <c r="AM35" i="6"/>
  <c r="AN31" i="6"/>
  <c r="AP31" i="6" s="1"/>
  <c r="AM31" i="6"/>
  <c r="AN34" i="6"/>
  <c r="AP34" i="6" s="1"/>
  <c r="AM34" i="6"/>
  <c r="AN36" i="6"/>
  <c r="AP36" i="6" s="1"/>
  <c r="AM36" i="6"/>
  <c r="AN30" i="6"/>
  <c r="AP30" i="6" s="1"/>
  <c r="AM30" i="6"/>
  <c r="AJ37" i="6"/>
  <c r="AN28" i="6"/>
  <c r="AP28" i="6" s="1"/>
  <c r="AM28" i="6"/>
  <c r="AN27" i="6"/>
  <c r="AM27" i="6"/>
  <c r="AK37" i="6"/>
  <c r="E16" i="9" s="1"/>
  <c r="AO27" i="6"/>
  <c r="AO37" i="6" s="1"/>
  <c r="F17" i="9" s="1"/>
  <c r="I17" i="9" s="1"/>
  <c r="AL37" i="6"/>
  <c r="E17" i="9" s="1"/>
  <c r="H17" i="9" s="1"/>
  <c r="AN33" i="6"/>
  <c r="AP33" i="6" s="1"/>
  <c r="AM33" i="6"/>
  <c r="AJ15" i="6"/>
  <c r="E18" i="5"/>
  <c r="F18" i="5" s="1"/>
  <c r="H18" i="5"/>
  <c r="I18" i="5" s="1"/>
  <c r="G12" i="9" l="1"/>
  <c r="H32" i="9"/>
  <c r="I32" i="9" s="1"/>
  <c r="J32" i="9" s="1"/>
  <c r="G18" i="9"/>
  <c r="E32" i="9"/>
  <c r="F32" i="9" s="1"/>
  <c r="G32" i="9" s="1"/>
  <c r="I12" i="9"/>
  <c r="C34" i="9"/>
  <c r="I34" i="9" s="1"/>
  <c r="J34" i="9" s="1"/>
  <c r="H16" i="9"/>
  <c r="E18" i="9"/>
  <c r="AM37" i="6"/>
  <c r="AP27" i="6"/>
  <c r="AP37" i="6" s="1"/>
  <c r="AN37" i="6"/>
  <c r="F16" i="9" s="1"/>
  <c r="H18" i="9" l="1"/>
  <c r="E33" i="9"/>
  <c r="F33" i="9" s="1"/>
  <c r="G33" i="9" s="1"/>
  <c r="F18" i="9"/>
  <c r="I16" i="9"/>
  <c r="I18" i="9" l="1"/>
  <c r="E34" i="9"/>
  <c r="F34" i="9" s="1"/>
  <c r="G34" i="9" s="1"/>
</calcChain>
</file>

<file path=xl/sharedStrings.xml><?xml version="1.0" encoding="utf-8"?>
<sst xmlns="http://schemas.openxmlformats.org/spreadsheetml/2006/main" count="729" uniqueCount="158">
  <si>
    <t>Rate</t>
  </si>
  <si>
    <t>Markup</t>
  </si>
  <si>
    <t>Position</t>
  </si>
  <si>
    <t>End of Line Packer</t>
  </si>
  <si>
    <t>Line Assembly Worker</t>
  </si>
  <si>
    <t>Line Lead</t>
  </si>
  <si>
    <t>Machine Operator</t>
  </si>
  <si>
    <t>Shift Lead</t>
  </si>
  <si>
    <t>Randstad</t>
  </si>
  <si>
    <t>Shift Supervisor</t>
  </si>
  <si>
    <t>Line Feeder / Line Catcher</t>
  </si>
  <si>
    <t>Aux Machine Operator</t>
  </si>
  <si>
    <t>% of headcount</t>
  </si>
  <si>
    <t>TOTAL</t>
  </si>
  <si>
    <t>Allegiance</t>
  </si>
  <si>
    <t>D&amp;C Elite</t>
  </si>
  <si>
    <t>Resource</t>
  </si>
  <si>
    <t>EPG</t>
  </si>
  <si>
    <t>MVP</t>
  </si>
  <si>
    <t>Amplio</t>
  </si>
  <si>
    <t>Hire Dynamics</t>
  </si>
  <si>
    <t>Accentuate</t>
  </si>
  <si>
    <t>Two Hawk</t>
  </si>
  <si>
    <t>Spherion</t>
  </si>
  <si>
    <t>Manpower</t>
  </si>
  <si>
    <t>Bonney</t>
  </si>
  <si>
    <t>OT</t>
  </si>
  <si>
    <t>Agency</t>
  </si>
  <si>
    <t>Assume Randstad markup of 33% based on MSP proposal of 36% (incl. 3% MSP fee)</t>
  </si>
  <si>
    <t>Material Handler: Manual</t>
  </si>
  <si>
    <t>Material Handler: Electric</t>
  </si>
  <si>
    <t>Status</t>
  </si>
  <si>
    <t>Keep</t>
  </si>
  <si>
    <t>Hourly rate</t>
  </si>
  <si>
    <t>Open to Phase Out</t>
  </si>
  <si>
    <t>Amplio hours not provided for August 2022 analysis; assume it is 3.75% of total REG with 16% of OT (same as in May 2022)</t>
  </si>
  <si>
    <t>REG</t>
  </si>
  <si>
    <t>Assumptions:</t>
  </si>
  <si>
    <t>Hrly Rate</t>
  </si>
  <si>
    <t>Annual REG Hrs</t>
  </si>
  <si>
    <t>Annual OT Hrs</t>
  </si>
  <si>
    <t>TOTAL REG $</t>
  </si>
  <si>
    <t>TOTAL OT $</t>
  </si>
  <si>
    <t>Aug'22 OT</t>
  </si>
  <si>
    <t>Aug'22 REG</t>
  </si>
  <si>
    <t>Role % of HC</t>
  </si>
  <si>
    <t>Agency % of HC</t>
  </si>
  <si>
    <t>TOTAL SPEND</t>
  </si>
  <si>
    <t>Baseline Model Summary</t>
  </si>
  <si>
    <t>REG $</t>
  </si>
  <si>
    <t>OT $</t>
  </si>
  <si>
    <t># REG Hrs</t>
  </si>
  <si>
    <t># OT Hrs</t>
  </si>
  <si>
    <t>% HC</t>
  </si>
  <si>
    <t>MSP Input</t>
  </si>
  <si>
    <t>Bill Rate</t>
  </si>
  <si>
    <t>Assume 10% OT</t>
  </si>
  <si>
    <t>Role X Agency Weight</t>
  </si>
  <si>
    <t>Total Pay</t>
  </si>
  <si>
    <t>Year 1 Background checks</t>
  </si>
  <si>
    <t>Year 1 MSP Implementation</t>
  </si>
  <si>
    <t>Year 1 Total Cost of Ownership</t>
  </si>
  <si>
    <t>Cost $</t>
  </si>
  <si>
    <t>(Savings $)</t>
  </si>
  <si>
    <t>(Savings %)</t>
  </si>
  <si>
    <t>MSP Program Cost Overview (rounded to $100K)</t>
  </si>
  <si>
    <t>The headcount distribution by role is consistent across all agencies (does not account for nuances of certain agencies filling certain roles)</t>
  </si>
  <si>
    <t>Year 1 TOTAL $</t>
  </si>
  <si>
    <t>YEAR 1</t>
  </si>
  <si>
    <t>Year 2</t>
  </si>
  <si>
    <t>Year 3</t>
  </si>
  <si>
    <t>Cost savings</t>
  </si>
  <si>
    <t>Annual HR Savings</t>
  </si>
  <si>
    <t>OT % of REG</t>
  </si>
  <si>
    <t>Annual Total Hrs</t>
  </si>
  <si>
    <t>Annual Reg Hrs</t>
  </si>
  <si>
    <t>Year 2 TOTAL $</t>
  </si>
  <si>
    <t>Percent of Year HR change</t>
  </si>
  <si>
    <t>Discounted HR</t>
  </si>
  <si>
    <t>Month 1</t>
  </si>
  <si>
    <t>Month 12</t>
  </si>
  <si>
    <t>Month 11</t>
  </si>
  <si>
    <t>Month 10</t>
  </si>
  <si>
    <t>Month 9</t>
  </si>
  <si>
    <t>Month 8</t>
  </si>
  <si>
    <t>Month 7</t>
  </si>
  <si>
    <t>Month 6</t>
  </si>
  <si>
    <t>Month 5</t>
  </si>
  <si>
    <t>Month 4</t>
  </si>
  <si>
    <t>Month 3</t>
  </si>
  <si>
    <t>Month 2</t>
  </si>
  <si>
    <t>% of total REG Hours</t>
  </si>
  <si>
    <t>MONTHLY REG $</t>
  </si>
  <si>
    <t>MONTHLY OT $</t>
  </si>
  <si>
    <t>Monthly</t>
  </si>
  <si>
    <t>Annual</t>
  </si>
  <si>
    <t>TOTAL REG Hours</t>
  </si>
  <si>
    <t>TOTAL OT Hours</t>
  </si>
  <si>
    <t>TOTAL HOURS</t>
  </si>
  <si>
    <t>Monthly REG Hours</t>
  </si>
  <si>
    <t>Monthly OT Hours</t>
  </si>
  <si>
    <t>Line Labor Worker</t>
  </si>
  <si>
    <t>Job Title</t>
  </si>
  <si>
    <t>City</t>
  </si>
  <si>
    <t>Average Rate</t>
  </si>
  <si>
    <t>Material Handler</t>
  </si>
  <si>
    <t>Overwrap End of Line Packer</t>
  </si>
  <si>
    <t>Overwrap Feeder</t>
  </si>
  <si>
    <t>Slitter Operator</t>
  </si>
  <si>
    <t>Raleigh</t>
  </si>
  <si>
    <t>Durham</t>
  </si>
  <si>
    <t>No change from baseline</t>
  </si>
  <si>
    <t>Modeling assumption:</t>
  </si>
  <si>
    <t>Adopt new markup</t>
  </si>
  <si>
    <t>Year 1 TOTAL</t>
  </si>
  <si>
    <t>Months 1 - 6</t>
  </si>
  <si>
    <t>As of Month 7</t>
  </si>
  <si>
    <t>Highest Applicable Rate</t>
  </si>
  <si>
    <t>of workers as paid existing rates</t>
  </si>
  <si>
    <t>of workers are paid new rates</t>
  </si>
  <si>
    <t>No change to ratio of 15% OT hours</t>
  </si>
  <si>
    <t>As of Month 13</t>
  </si>
  <si>
    <t>cost savings initiative deployed</t>
  </si>
  <si>
    <t>Year 2 TOTAL</t>
  </si>
  <si>
    <t>Year 3 TOTAL</t>
  </si>
  <si>
    <t>No changes in pay rate or markup as not realistic to forecast that far out</t>
  </si>
  <si>
    <t>As of Month 25</t>
  </si>
  <si>
    <t>No other cost savings initiatives deployed</t>
  </si>
  <si>
    <t>New markup remains in place</t>
  </si>
  <si>
    <t>New markup remains in place; no changes to rates</t>
  </si>
  <si>
    <t>Allocated REG Hours</t>
  </si>
  <si>
    <t>Allocated OT Hours</t>
  </si>
  <si>
    <t>Hours</t>
  </si>
  <si>
    <t>Year 1 Spend</t>
  </si>
  <si>
    <t>Year 2 Spend</t>
  </si>
  <si>
    <t>Year 3 Spend</t>
  </si>
  <si>
    <t>Y1 MSP vs Baseline</t>
  </si>
  <si>
    <t>Y2 MSP vs Baseline</t>
  </si>
  <si>
    <t>Y3 MSP vs Baseline</t>
  </si>
  <si>
    <t>Modified OT (15%)</t>
  </si>
  <si>
    <t>Presentation Summary</t>
  </si>
  <si>
    <t>Baseline hours used</t>
  </si>
  <si>
    <t>Potential Savings</t>
  </si>
  <si>
    <t>Temp Labor Spend</t>
  </si>
  <si>
    <t>MSP 2</t>
  </si>
  <si>
    <t>MSP 1</t>
  </si>
  <si>
    <t>Business Baseline</t>
  </si>
  <si>
    <t>Baseline Program</t>
  </si>
  <si>
    <t>Source: email from Client, with document</t>
  </si>
  <si>
    <t>MPG baseline rates (per Client C-Suite as of December 2022)</t>
  </si>
  <si>
    <t>Business BASELINE</t>
  </si>
  <si>
    <r>
      <rPr>
        <b/>
        <u/>
        <sz val="11"/>
        <color theme="1"/>
        <rFont val="Calibri"/>
        <family val="2"/>
        <scheme val="minor"/>
      </rPr>
      <t>Markups</t>
    </r>
    <r>
      <rPr>
        <b/>
        <sz val="11"/>
        <color theme="1"/>
        <rFont val="Calibri"/>
        <family val="2"/>
        <scheme val="minor"/>
      </rPr>
      <t xml:space="preserve"> (per Consultant Company invoice analysis as of May 2022) and </t>
    </r>
    <r>
      <rPr>
        <b/>
        <u/>
        <sz val="11"/>
        <color theme="1"/>
        <rFont val="Calibri"/>
        <family val="2"/>
        <scheme val="minor"/>
      </rPr>
      <t>Hours</t>
    </r>
    <r>
      <rPr>
        <b/>
        <sz val="11"/>
        <color theme="1"/>
        <rFont val="Calibri"/>
        <family val="2"/>
        <scheme val="minor"/>
      </rPr>
      <t xml:space="preserve"> per agency (per Consultant Company invoice analysis as of August 2022)</t>
    </r>
  </si>
  <si>
    <t>Business Annualized Baseline Model</t>
  </si>
  <si>
    <t>Business Client Input</t>
  </si>
  <si>
    <t>MSP 1 - Year 1</t>
  </si>
  <si>
    <t>MSP 2 - Year 1</t>
  </si>
  <si>
    <t>Annualized Business temp hours (per Aug'22 summary)</t>
  </si>
  <si>
    <t>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</si>
</sst>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#,##0%;\(#,##0%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44" fontId="0" fillId="0" borderId="0" xfId="1" applyFont="1"/>
    <xf numFmtId="9" fontId="0" fillId="0" borderId="0" xfId="2" applyFont="1"/>
    <xf numFmtId="44" fontId="0" fillId="0" borderId="0" xfId="0" applyNumberFormat="1"/>
    <xf numFmtId="1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1" fontId="0" fillId="0" borderId="0" xfId="0" applyNumberFormat="1"/>
    <xf numFmtId="41" fontId="2" fillId="0" borderId="0" xfId="0" applyNumberFormat="1" applyFont="1"/>
    <xf numFmtId="0" fontId="2" fillId="2" borderId="0" xfId="0" applyFont="1" applyFill="1"/>
    <xf numFmtId="9" fontId="0" fillId="0" borderId="0" xfId="0" applyNumberFormat="1"/>
    <xf numFmtId="0" fontId="2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41" fontId="0" fillId="0" borderId="3" xfId="0" applyNumberFormat="1" applyBorder="1"/>
    <xf numFmtId="10" fontId="2" fillId="0" borderId="0" xfId="0" applyNumberFormat="1" applyFont="1"/>
    <xf numFmtId="10" fontId="0" fillId="0" borderId="3" xfId="0" applyNumberFormat="1" applyBorder="1"/>
    <xf numFmtId="9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1" fontId="2" fillId="0" borderId="1" xfId="0" applyNumberFormat="1" applyFont="1" applyBorder="1"/>
    <xf numFmtId="44" fontId="2" fillId="0" borderId="0" xfId="0" applyNumberFormat="1" applyFont="1" applyAlignment="1">
      <alignment horizontal="center"/>
    </xf>
    <xf numFmtId="44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2" fillId="3" borderId="0" xfId="0" applyFont="1" applyFill="1"/>
    <xf numFmtId="164" fontId="0" fillId="0" borderId="0" xfId="2" applyNumberFormat="1" applyFont="1"/>
    <xf numFmtId="165" fontId="0" fillId="0" borderId="0" xfId="0" applyNumberFormat="1"/>
    <xf numFmtId="165" fontId="2" fillId="0" borderId="0" xfId="0" applyNumberFormat="1" applyFont="1"/>
    <xf numFmtId="0" fontId="2" fillId="0" borderId="7" xfId="0" applyFont="1" applyBorder="1"/>
    <xf numFmtId="0" fontId="2" fillId="0" borderId="2" xfId="0" applyFont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0" borderId="3" xfId="0" applyFont="1" applyBorder="1" applyAlignment="1">
      <alignment horizontal="center"/>
    </xf>
    <xf numFmtId="0" fontId="2" fillId="2" borderId="3" xfId="0" applyFont="1" applyFill="1" applyBorder="1"/>
    <xf numFmtId="0" fontId="2" fillId="2" borderId="0" xfId="0" applyFont="1" applyFill="1" applyAlignment="1">
      <alignment horizontal="left"/>
    </xf>
    <xf numFmtId="0" fontId="0" fillId="0" borderId="3" xfId="0" applyBorder="1" applyAlignment="1">
      <alignment horizontal="left" indent="1"/>
    </xf>
    <xf numFmtId="166" fontId="0" fillId="0" borderId="3" xfId="0" applyNumberFormat="1" applyBorder="1"/>
    <xf numFmtId="42" fontId="0" fillId="0" borderId="0" xfId="0" applyNumberFormat="1"/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165" fontId="0" fillId="0" borderId="3" xfId="0" applyNumberFormat="1" applyBorder="1"/>
    <xf numFmtId="0" fontId="2" fillId="4" borderId="0" xfId="0" applyFont="1" applyFill="1"/>
    <xf numFmtId="44" fontId="0" fillId="3" borderId="0" xfId="0" applyNumberFormat="1" applyFill="1"/>
    <xf numFmtId="9" fontId="0" fillId="3" borderId="0" xfId="2" applyFont="1" applyFill="1"/>
    <xf numFmtId="9" fontId="0" fillId="4" borderId="0" xfId="2" applyFont="1" applyFill="1"/>
    <xf numFmtId="165" fontId="0" fillId="4" borderId="0" xfId="0" applyNumberFormat="1" applyFill="1"/>
    <xf numFmtId="42" fontId="2" fillId="0" borderId="0" xfId="0" applyNumberFormat="1" applyFont="1"/>
    <xf numFmtId="42" fontId="0" fillId="0" borderId="3" xfId="0" applyNumberFormat="1" applyBorder="1"/>
    <xf numFmtId="0" fontId="0" fillId="0" borderId="3" xfId="0" applyBorder="1"/>
    <xf numFmtId="9" fontId="2" fillId="0" borderId="0" xfId="0" applyNumberFormat="1" applyFont="1"/>
    <xf numFmtId="0" fontId="4" fillId="6" borderId="0" xfId="0" applyFont="1" applyFill="1" applyAlignment="1">
      <alignment horizontal="centerContinuous"/>
    </xf>
    <xf numFmtId="0" fontId="4" fillId="5" borderId="0" xfId="0" applyFont="1" applyFill="1" applyAlignment="1">
      <alignment horizontal="center"/>
    </xf>
    <xf numFmtId="165" fontId="0" fillId="4" borderId="3" xfId="0" applyNumberFormat="1" applyFill="1" applyBorder="1"/>
    <xf numFmtId="44" fontId="0" fillId="4" borderId="0" xfId="1" applyFont="1" applyFill="1"/>
    <xf numFmtId="0" fontId="0" fillId="0" borderId="11" xfId="0" applyBorder="1"/>
    <xf numFmtId="0" fontId="2" fillId="2" borderId="11" xfId="0" applyFont="1" applyFill="1" applyBorder="1" applyAlignment="1">
      <alignment horizontal="centerContinuous"/>
    </xf>
    <xf numFmtId="0" fontId="2" fillId="0" borderId="11" xfId="0" applyFont="1" applyBorder="1" applyAlignment="1">
      <alignment horizontal="center"/>
    </xf>
    <xf numFmtId="165" fontId="2" fillId="0" borderId="11" xfId="0" applyNumberFormat="1" applyFont="1" applyBorder="1"/>
    <xf numFmtId="165" fontId="2" fillId="0" borderId="12" xfId="0" applyNumberFormat="1" applyFont="1" applyBorder="1"/>
    <xf numFmtId="0" fontId="0" fillId="2" borderId="11" xfId="0" applyFill="1" applyBorder="1" applyAlignment="1">
      <alignment horizontal="centerContinuous"/>
    </xf>
    <xf numFmtId="165" fontId="2" fillId="0" borderId="13" xfId="0" applyNumberFormat="1" applyFont="1" applyBorder="1"/>
    <xf numFmtId="0" fontId="4" fillId="5" borderId="10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Continuous"/>
    </xf>
    <xf numFmtId="0" fontId="4" fillId="6" borderId="15" xfId="0" applyFont="1" applyFill="1" applyBorder="1" applyAlignment="1">
      <alignment horizontal="centerContinuous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2" fontId="0" fillId="0" borderId="14" xfId="0" applyNumberFormat="1" applyBorder="1"/>
    <xf numFmtId="9" fontId="0" fillId="0" borderId="15" xfId="0" applyNumberFormat="1" applyBorder="1"/>
    <xf numFmtId="42" fontId="0" fillId="0" borderId="16" xfId="0" applyNumberFormat="1" applyBorder="1"/>
    <xf numFmtId="9" fontId="0" fillId="0" borderId="17" xfId="0" applyNumberFormat="1" applyBorder="1"/>
    <xf numFmtId="42" fontId="2" fillId="0" borderId="14" xfId="0" applyNumberFormat="1" applyFont="1" applyBorder="1"/>
    <xf numFmtId="9" fontId="2" fillId="0" borderId="15" xfId="0" applyNumberFormat="1" applyFont="1" applyBorder="1"/>
    <xf numFmtId="2" fontId="0" fillId="0" borderId="0" xfId="0" applyNumberFormat="1"/>
    <xf numFmtId="43" fontId="2" fillId="0" borderId="7" xfId="0" applyNumberFormat="1" applyFont="1" applyBorder="1"/>
    <xf numFmtId="44" fontId="0" fillId="4" borderId="3" xfId="1" applyFont="1" applyFill="1" applyBorder="1"/>
    <xf numFmtId="9" fontId="0" fillId="4" borderId="3" xfId="2" applyFont="1" applyFill="1" applyBorder="1"/>
    <xf numFmtId="9" fontId="0" fillId="4" borderId="16" xfId="2" applyFont="1" applyFill="1" applyBorder="1"/>
    <xf numFmtId="44" fontId="0" fillId="3" borderId="3" xfId="0" applyNumberFormat="1" applyFill="1" applyBorder="1"/>
    <xf numFmtId="9" fontId="0" fillId="3" borderId="3" xfId="2" applyFont="1" applyFill="1" applyBorder="1"/>
    <xf numFmtId="44" fontId="0" fillId="0" borderId="0" xfId="1" applyFont="1" applyBorder="1"/>
    <xf numFmtId="44" fontId="2" fillId="0" borderId="18" xfId="1" applyFont="1" applyBorder="1"/>
    <xf numFmtId="44" fontId="2" fillId="0" borderId="6" xfId="1" applyFont="1" applyBorder="1"/>
    <xf numFmtId="44" fontId="2" fillId="0" borderId="0" xfId="1" applyFont="1"/>
    <xf numFmtId="44" fontId="0" fillId="0" borderId="3" xfId="1" applyFont="1" applyBorder="1"/>
    <xf numFmtId="0" fontId="0" fillId="2" borderId="0" xfId="0" applyFill="1" applyAlignment="1">
      <alignment horizontal="left"/>
    </xf>
    <xf numFmtId="2" fontId="0" fillId="3" borderId="0" xfId="0" applyNumberFormat="1" applyFill="1"/>
    <xf numFmtId="2" fontId="0" fillId="3" borderId="3" xfId="0" applyNumberFormat="1" applyFill="1" applyBorder="1"/>
    <xf numFmtId="44" fontId="0" fillId="3" borderId="0" xfId="1" applyFont="1" applyFill="1"/>
    <xf numFmtId="44" fontId="0" fillId="3" borderId="3" xfId="1" applyFont="1" applyFill="1" applyBorder="1"/>
    <xf numFmtId="165" fontId="2" fillId="0" borderId="19" xfId="0" applyNumberFormat="1" applyFont="1" applyBorder="1"/>
    <xf numFmtId="165" fontId="2" fillId="0" borderId="20" xfId="0" applyNumberFormat="1" applyFont="1" applyBorder="1"/>
    <xf numFmtId="165" fontId="2" fillId="0" borderId="21" xfId="0" applyNumberFormat="1" applyFont="1" applyBorder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41" fontId="0" fillId="4" borderId="0" xfId="0" applyNumberFormat="1" applyFill="1"/>
    <xf numFmtId="164" fontId="0" fillId="3" borderId="0" xfId="2" applyNumberFormat="1" applyFont="1" applyFill="1"/>
    <xf numFmtId="44" fontId="0" fillId="4" borderId="0" xfId="0" applyNumberFormat="1" applyFill="1"/>
    <xf numFmtId="41" fontId="0" fillId="7" borderId="0" xfId="0" applyNumberFormat="1" applyFill="1"/>
    <xf numFmtId="41" fontId="0" fillId="7" borderId="1" xfId="0" applyNumberFormat="1" applyFill="1" applyBorder="1"/>
    <xf numFmtId="41" fontId="0" fillId="7" borderId="4" xfId="0" applyNumberFormat="1" applyFill="1" applyBorder="1"/>
    <xf numFmtId="0" fontId="2" fillId="7" borderId="0" xfId="0" applyFont="1" applyFill="1"/>
    <xf numFmtId="166" fontId="2" fillId="8" borderId="7" xfId="1" applyNumberFormat="1" applyFont="1" applyFill="1" applyBorder="1"/>
    <xf numFmtId="166" fontId="2" fillId="8" borderId="1" xfId="0" applyNumberFormat="1" applyFont="1" applyFill="1" applyBorder="1"/>
    <xf numFmtId="166" fontId="2" fillId="8" borderId="5" xfId="1" applyNumberFormat="1" applyFont="1" applyFill="1" applyBorder="1"/>
    <xf numFmtId="166" fontId="2" fillId="8" borderId="6" xfId="0" applyNumberFormat="1" applyFont="1" applyFill="1" applyBorder="1"/>
    <xf numFmtId="42" fontId="0" fillId="0" borderId="1" xfId="0" applyNumberFormat="1" applyFont="1" applyBorder="1"/>
    <xf numFmtId="42" fontId="0" fillId="0" borderId="0" xfId="0" applyNumberFormat="1" applyFont="1" applyBorder="1"/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5" borderId="5" xfId="0" applyFont="1" applyFill="1" applyBorder="1" applyAlignment="1">
      <alignment horizontal="left"/>
    </xf>
    <xf numFmtId="0" fontId="4" fillId="5" borderId="1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0" fillId="0" borderId="7" xfId="0" applyBorder="1" applyAlignment="1">
      <alignment horizontal="left" indent="1"/>
    </xf>
    <xf numFmtId="41" fontId="0" fillId="0" borderId="0" xfId="0" applyNumberFormat="1" applyBorder="1"/>
    <xf numFmtId="41" fontId="0" fillId="0" borderId="1" xfId="0" applyNumberFormat="1" applyBorder="1"/>
    <xf numFmtId="0" fontId="0" fillId="0" borderId="2" xfId="0" applyBorder="1" applyAlignment="1">
      <alignment horizontal="left" indent="1"/>
    </xf>
    <xf numFmtId="41" fontId="0" fillId="0" borderId="4" xfId="0" applyNumberFormat="1" applyBorder="1"/>
    <xf numFmtId="41" fontId="2" fillId="0" borderId="0" xfId="0" applyNumberFormat="1" applyFont="1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166" fontId="0" fillId="0" borderId="0" xfId="0" applyNumberFormat="1" applyBorder="1"/>
    <xf numFmtId="166" fontId="0" fillId="0" borderId="1" xfId="0" applyNumberFormat="1" applyBorder="1"/>
    <xf numFmtId="166" fontId="0" fillId="0" borderId="4" xfId="0" applyNumberFormat="1" applyBorder="1"/>
    <xf numFmtId="166" fontId="2" fillId="0" borderId="3" xfId="0" applyNumberFormat="1" applyFont="1" applyBorder="1"/>
    <xf numFmtId="166" fontId="2" fillId="0" borderId="4" xfId="0" applyNumberFormat="1" applyFont="1" applyBorder="1"/>
    <xf numFmtId="0" fontId="4" fillId="5" borderId="0" xfId="0" applyFont="1" applyFill="1"/>
    <xf numFmtId="0" fontId="2" fillId="0" borderId="0" xfId="0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41" fontId="0" fillId="4" borderId="1" xfId="0" applyNumberFormat="1" applyFill="1" applyBorder="1"/>
    <xf numFmtId="0" fontId="2" fillId="2" borderId="2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2" fillId="0" borderId="18" xfId="0" applyFont="1" applyFill="1" applyBorder="1" applyAlignment="1">
      <alignment horizontal="center"/>
    </xf>
    <xf numFmtId="44" fontId="0" fillId="0" borderId="0" xfId="0" applyNumberFormat="1" applyFill="1"/>
    <xf numFmtId="165" fontId="2" fillId="0" borderId="0" xfId="0" applyNumberFormat="1" applyFont="1" applyFill="1"/>
    <xf numFmtId="0" fontId="0" fillId="0" borderId="0" xfId="0" applyFill="1"/>
    <xf numFmtId="42" fontId="0" fillId="0" borderId="3" xfId="0" applyNumberFormat="1" applyFont="1" applyBorder="1"/>
    <xf numFmtId="42" fontId="0" fillId="0" borderId="4" xfId="0" applyNumberFormat="1" applyFont="1" applyBorder="1"/>
    <xf numFmtId="42" fontId="2" fillId="0" borderId="18" xfId="0" applyNumberFormat="1" applyFont="1" applyBorder="1"/>
    <xf numFmtId="42" fontId="2" fillId="0" borderId="6" xfId="0" applyNumberFormat="1" applyFont="1" applyBorder="1"/>
    <xf numFmtId="42" fontId="2" fillId="0" borderId="23" xfId="0" applyNumberFormat="1" applyFont="1" applyBorder="1"/>
    <xf numFmtId="0" fontId="2" fillId="0" borderId="5" xfId="0" applyFont="1" applyBorder="1" applyAlignment="1">
      <alignment horizontal="center"/>
    </xf>
    <xf numFmtId="0" fontId="2" fillId="2" borderId="0" xfId="0" quotePrefix="1" applyFont="1" applyFill="1" applyAlignment="1">
      <alignment horizontal="centerContinuous"/>
    </xf>
    <xf numFmtId="0" fontId="5" fillId="0" borderId="0" xfId="0" applyFont="1"/>
    <xf numFmtId="0" fontId="0" fillId="0" borderId="24" xfId="0" applyBorder="1"/>
    <xf numFmtId="44" fontId="0" fillId="0" borderId="24" xfId="1" applyFont="1" applyBorder="1"/>
    <xf numFmtId="0" fontId="2" fillId="2" borderId="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" xfId="0" applyBorder="1"/>
    <xf numFmtId="44" fontId="0" fillId="0" borderId="1" xfId="0" applyNumberFormat="1" applyFill="1" applyBorder="1"/>
    <xf numFmtId="44" fontId="0" fillId="0" borderId="26" xfId="0" applyNumberFormat="1" applyFill="1" applyBorder="1"/>
    <xf numFmtId="44" fontId="0" fillId="0" borderId="4" xfId="0" applyNumberFormat="1" applyFill="1" applyBorder="1"/>
    <xf numFmtId="0" fontId="3" fillId="0" borderId="0" xfId="0" applyFont="1"/>
    <xf numFmtId="0" fontId="2" fillId="2" borderId="9" xfId="0" applyFont="1" applyFill="1" applyBorder="1" applyAlignment="1">
      <alignment horizontal="center" wrapText="1"/>
    </xf>
    <xf numFmtId="0" fontId="0" fillId="0" borderId="3" xfId="0" applyBorder="1" applyAlignment="1">
      <alignment horizontal="centerContinuous"/>
    </xf>
    <xf numFmtId="42" fontId="0" fillId="0" borderId="1" xfId="0" applyNumberFormat="1" applyBorder="1"/>
    <xf numFmtId="42" fontId="0" fillId="0" borderId="4" xfId="0" applyNumberFormat="1" applyBorder="1"/>
    <xf numFmtId="41" fontId="0" fillId="7" borderId="3" xfId="0" applyNumberFormat="1" applyFill="1" applyBorder="1" applyAlignment="1">
      <alignment horizontal="center"/>
    </xf>
    <xf numFmtId="41" fontId="2" fillId="7" borderId="0" xfId="0" applyNumberFormat="1" applyFont="1" applyFill="1" applyAlignment="1">
      <alignment horizontal="center"/>
    </xf>
    <xf numFmtId="0" fontId="2" fillId="0" borderId="0" xfId="0" applyFont="1" applyFill="1" applyBorder="1"/>
    <xf numFmtId="0" fontId="2" fillId="4" borderId="0" xfId="0" applyFont="1" applyFill="1" applyAlignment="1">
      <alignment horizontal="centerContinuous"/>
    </xf>
    <xf numFmtId="0" fontId="0" fillId="4" borderId="0" xfId="0" applyFill="1" applyAlignment="1">
      <alignment horizontal="centerContinuous"/>
    </xf>
    <xf numFmtId="0" fontId="2" fillId="0" borderId="18" xfId="0" applyFont="1" applyBorder="1"/>
    <xf numFmtId="0" fontId="0" fillId="0" borderId="0" xfId="0" applyBorder="1" applyAlignment="1">
      <alignment horizontal="left" indent="1"/>
    </xf>
    <xf numFmtId="0" fontId="2" fillId="0" borderId="0" xfId="0" applyFont="1" applyBorder="1"/>
    <xf numFmtId="43" fontId="2" fillId="0" borderId="0" xfId="3" applyFont="1"/>
    <xf numFmtId="0" fontId="7" fillId="0" borderId="0" xfId="0" applyFont="1" applyAlignment="1">
      <alignment horizontal="center"/>
    </xf>
    <xf numFmtId="167" fontId="6" fillId="0" borderId="0" xfId="2" applyNumberFormat="1" applyFont="1"/>
    <xf numFmtId="167" fontId="6" fillId="0" borderId="3" xfId="2" applyNumberFormat="1" applyFont="1" applyBorder="1"/>
    <xf numFmtId="167" fontId="7" fillId="0" borderId="0" xfId="2" applyNumberFormat="1" applyFont="1"/>
    <xf numFmtId="9" fontId="0" fillId="7" borderId="0" xfId="0" applyNumberFormat="1" applyFill="1" applyBorder="1"/>
    <xf numFmtId="10" fontId="0" fillId="0" borderId="0" xfId="0" applyNumberFormat="1" applyBorder="1"/>
    <xf numFmtId="9" fontId="0" fillId="0" borderId="0" xfId="0" applyNumberFormat="1" applyBorder="1"/>
    <xf numFmtId="9" fontId="0" fillId="0" borderId="3" xfId="0" applyNumberFormat="1" applyBorder="1"/>
    <xf numFmtId="41" fontId="2" fillId="7" borderId="1" xfId="0" applyNumberFormat="1" applyFont="1" applyFill="1" applyBorder="1"/>
    <xf numFmtId="0" fontId="2" fillId="2" borderId="0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A689-9009-46A1-8169-538AA90A7454}">
  <sheetPr>
    <tabColor rgb="FF002060"/>
  </sheetPr>
  <dimension ref="B2:J34"/>
  <sheetViews>
    <sheetView showGridLines="0" topLeftCell="A13" workbookViewId="0">
      <selection activeCell="G43" sqref="G43"/>
    </sheetView>
  </sheetViews>
  <sheetFormatPr defaultRowHeight="14.5" x14ac:dyDescent="0.35"/>
  <cols>
    <col min="1" max="1" width="1.81640625" customWidth="1"/>
    <col min="2" max="2" width="12.90625" bestFit="1" customWidth="1"/>
    <col min="3" max="3" width="13.54296875" bestFit="1" customWidth="1"/>
    <col min="4" max="6" width="18.81640625" bestFit="1" customWidth="1"/>
    <col min="7" max="9" width="18" bestFit="1" customWidth="1"/>
  </cols>
  <sheetData>
    <row r="2" spans="2:9" x14ac:dyDescent="0.35">
      <c r="C2" s="171" t="s">
        <v>146</v>
      </c>
      <c r="D2" s="171"/>
      <c r="E2" s="172"/>
      <c r="F2" s="172"/>
    </row>
    <row r="3" spans="2:9" x14ac:dyDescent="0.35">
      <c r="B3" s="5" t="s">
        <v>95</v>
      </c>
      <c r="C3" s="6" t="s">
        <v>132</v>
      </c>
      <c r="D3" s="6" t="s">
        <v>133</v>
      </c>
      <c r="E3" s="6" t="s">
        <v>134</v>
      </c>
      <c r="F3" s="6" t="s">
        <v>135</v>
      </c>
    </row>
    <row r="4" spans="2:9" x14ac:dyDescent="0.35">
      <c r="B4" s="16" t="s">
        <v>36</v>
      </c>
      <c r="C4" s="10">
        <f>ROUND('Business Baseline'!D3,-4)</f>
        <v>4410000</v>
      </c>
      <c r="D4" s="39">
        <f>ROUND('Business Baseline'!D7,-4)</f>
        <v>93200000</v>
      </c>
      <c r="E4" s="39">
        <f>D4</f>
        <v>93200000</v>
      </c>
      <c r="F4" s="39">
        <f>E4</f>
        <v>93200000</v>
      </c>
    </row>
    <row r="5" spans="2:9" x14ac:dyDescent="0.35">
      <c r="B5" s="37" t="s">
        <v>26</v>
      </c>
      <c r="C5" s="17">
        <f>ROUND('Business Baseline'!D4,-4)</f>
        <v>660000</v>
      </c>
      <c r="D5" s="49">
        <f>ROUND('Business Baseline'!D8,-4)</f>
        <v>20970000</v>
      </c>
      <c r="E5" s="49">
        <f>D5</f>
        <v>20970000</v>
      </c>
      <c r="F5" s="49">
        <f>E5</f>
        <v>20970000</v>
      </c>
    </row>
    <row r="6" spans="2:9" x14ac:dyDescent="0.35">
      <c r="B6" s="170" t="s">
        <v>13</v>
      </c>
      <c r="C6" s="11">
        <f>SUM(C4:C5)</f>
        <v>5070000</v>
      </c>
      <c r="D6" s="48">
        <f>SUM(D4:D5)</f>
        <v>114170000</v>
      </c>
      <c r="E6" s="48">
        <f t="shared" ref="E6:F6" si="0">SUM(E4:E5)</f>
        <v>114170000</v>
      </c>
      <c r="F6" s="48">
        <f t="shared" si="0"/>
        <v>114170000</v>
      </c>
    </row>
    <row r="8" spans="2:9" x14ac:dyDescent="0.35">
      <c r="D8" s="132" t="s">
        <v>145</v>
      </c>
      <c r="E8" s="132"/>
      <c r="F8" s="132"/>
      <c r="G8" s="132"/>
      <c r="H8" s="132"/>
      <c r="I8" s="132"/>
    </row>
    <row r="9" spans="2:9" x14ac:dyDescent="0.35">
      <c r="C9" s="5" t="s">
        <v>95</v>
      </c>
      <c r="D9" s="6" t="s">
        <v>133</v>
      </c>
      <c r="E9" s="6" t="s">
        <v>134</v>
      </c>
      <c r="F9" s="6" t="s">
        <v>135</v>
      </c>
      <c r="G9" s="177" t="s">
        <v>136</v>
      </c>
      <c r="H9" s="177" t="s">
        <v>137</v>
      </c>
      <c r="I9" s="177" t="s">
        <v>138</v>
      </c>
    </row>
    <row r="10" spans="2:9" x14ac:dyDescent="0.35">
      <c r="B10" s="5"/>
      <c r="C10" s="16" t="s">
        <v>36</v>
      </c>
      <c r="D10" s="39">
        <f>ROUND('Detailed MSP Model'!AH15,-4)</f>
        <v>91030000</v>
      </c>
      <c r="E10" s="39">
        <f>ROUND('Detailed MSP Model'!AK15,-4)</f>
        <v>85870000</v>
      </c>
      <c r="F10" s="39">
        <f>ROUND('Detailed MSP Model'!AN15,-4)</f>
        <v>84160000</v>
      </c>
      <c r="G10" s="178">
        <f>(D10-D4)/D4</f>
        <v>-2.3283261802575107E-2</v>
      </c>
      <c r="H10" s="178">
        <f t="shared" ref="H10:I10" si="1">(E10-E4)/E4</f>
        <v>-7.8648068669527893E-2</v>
      </c>
      <c r="I10" s="178">
        <f t="shared" si="1"/>
        <v>-9.6995708154506435E-2</v>
      </c>
    </row>
    <row r="11" spans="2:9" x14ac:dyDescent="0.35">
      <c r="B11" s="16"/>
      <c r="C11" s="37" t="s">
        <v>26</v>
      </c>
      <c r="D11" s="39">
        <f>ROUND('Detailed MSP Model'!AI15,-4)</f>
        <v>17150000</v>
      </c>
      <c r="E11" s="39">
        <f>ROUND('Detailed MSP Model'!AL15,-4)</f>
        <v>12880000</v>
      </c>
      <c r="F11" s="39">
        <f>ROUND('Detailed MSP Model'!AO15,-4)</f>
        <v>12620000</v>
      </c>
      <c r="G11" s="179">
        <f t="shared" ref="G11:I11" si="2">(D11-D5)/D5</f>
        <v>-0.18216499761564139</v>
      </c>
      <c r="H11" s="179">
        <f t="shared" si="2"/>
        <v>-0.38578922269909394</v>
      </c>
      <c r="I11" s="179">
        <f t="shared" si="2"/>
        <v>-0.39818788745827371</v>
      </c>
    </row>
    <row r="12" spans="2:9" x14ac:dyDescent="0.35">
      <c r="B12" s="174"/>
      <c r="C12" s="173" t="s">
        <v>13</v>
      </c>
      <c r="D12" s="148">
        <f>SUM(D10:D11)</f>
        <v>108180000</v>
      </c>
      <c r="E12" s="148">
        <f>SUM(E10:E11)</f>
        <v>98750000</v>
      </c>
      <c r="F12" s="148">
        <f>SUM(F10:F11)</f>
        <v>96780000</v>
      </c>
      <c r="G12" s="180">
        <f t="shared" ref="G12:I12" si="3">(D12-D6)/D6</f>
        <v>-5.2465621441709728E-2</v>
      </c>
      <c r="H12" s="180">
        <f t="shared" si="3"/>
        <v>-0.13506175002189716</v>
      </c>
      <c r="I12" s="180">
        <f t="shared" si="3"/>
        <v>-0.15231672067968818</v>
      </c>
    </row>
    <row r="13" spans="2:9" x14ac:dyDescent="0.35">
      <c r="B13" s="175"/>
    </row>
    <row r="14" spans="2:9" x14ac:dyDescent="0.35">
      <c r="D14" s="132" t="s">
        <v>144</v>
      </c>
      <c r="E14" s="132"/>
      <c r="F14" s="133"/>
      <c r="G14" s="132"/>
      <c r="H14" s="133"/>
      <c r="I14" s="133"/>
    </row>
    <row r="15" spans="2:9" x14ac:dyDescent="0.35">
      <c r="C15" s="5" t="s">
        <v>95</v>
      </c>
      <c r="D15" s="6" t="s">
        <v>133</v>
      </c>
      <c r="E15" s="6" t="s">
        <v>134</v>
      </c>
      <c r="F15" s="6" t="s">
        <v>135</v>
      </c>
      <c r="G15" s="177" t="s">
        <v>136</v>
      </c>
      <c r="H15" s="177" t="s">
        <v>137</v>
      </c>
      <c r="I15" s="177" t="s">
        <v>138</v>
      </c>
    </row>
    <row r="16" spans="2:9" x14ac:dyDescent="0.35">
      <c r="C16" s="16" t="s">
        <v>36</v>
      </c>
      <c r="D16" s="39">
        <f>ROUND('Detailed MSP Model'!AH37,-4)</f>
        <v>92710000</v>
      </c>
      <c r="E16" s="39">
        <f>ROUND('Detailed MSP Model'!AK37,-4)</f>
        <v>91790000</v>
      </c>
      <c r="F16" s="39">
        <f>ROUND('Detailed MSP Model'!AN37,-4)</f>
        <v>90870000</v>
      </c>
      <c r="G16" s="178">
        <f>(D16-D4)/D4</f>
        <v>-5.257510729613734E-3</v>
      </c>
      <c r="H16" s="178">
        <f t="shared" ref="H16:I16" si="4">(E16-E4)/E4</f>
        <v>-1.5128755364806868E-2</v>
      </c>
      <c r="I16" s="178">
        <f t="shared" si="4"/>
        <v>-2.5000000000000001E-2</v>
      </c>
    </row>
    <row r="17" spans="2:10" x14ac:dyDescent="0.35">
      <c r="C17" s="37" t="s">
        <v>26</v>
      </c>
      <c r="D17" s="39">
        <f>ROUND('Detailed MSP Model'!AI37,-4)</f>
        <v>17400000</v>
      </c>
      <c r="E17" s="39">
        <f>ROUND('Detailed MSP Model'!AL37,-4)</f>
        <v>17230000</v>
      </c>
      <c r="F17" s="39">
        <f>ROUND('Detailed MSP Model'!AO37,-4)</f>
        <v>17060000</v>
      </c>
      <c r="G17" s="179">
        <f t="shared" ref="G17:I17" si="5">(D17-D5)/D5</f>
        <v>-0.17024320457796852</v>
      </c>
      <c r="H17" s="179">
        <f t="shared" si="5"/>
        <v>-0.17835002384358609</v>
      </c>
      <c r="I17" s="179">
        <f t="shared" si="5"/>
        <v>-0.18645684310920363</v>
      </c>
    </row>
    <row r="18" spans="2:10" x14ac:dyDescent="0.35">
      <c r="C18" s="173" t="s">
        <v>13</v>
      </c>
      <c r="D18" s="148">
        <f>SUM(D16:D17)</f>
        <v>110110000</v>
      </c>
      <c r="E18" s="148">
        <f>SUM(E16:E17)</f>
        <v>109020000</v>
      </c>
      <c r="F18" s="148">
        <f>SUM(F16:F17)</f>
        <v>107930000</v>
      </c>
      <c r="G18" s="180">
        <f t="shared" ref="G18:I18" si="6">(D18-D6)/D6</f>
        <v>-3.5561005518087066E-2</v>
      </c>
      <c r="H18" s="180">
        <f t="shared" si="6"/>
        <v>-4.5108172024174477E-2</v>
      </c>
      <c r="I18" s="180">
        <f t="shared" si="6"/>
        <v>-5.4655338530261888E-2</v>
      </c>
    </row>
    <row r="21" spans="2:10" x14ac:dyDescent="0.35">
      <c r="B21" s="153" t="s">
        <v>140</v>
      </c>
    </row>
    <row r="23" spans="2:10" x14ac:dyDescent="0.35">
      <c r="C23" s="186" t="s">
        <v>141</v>
      </c>
      <c r="D23" s="186"/>
    </row>
    <row r="24" spans="2:10" x14ac:dyDescent="0.35">
      <c r="C24" s="187" t="s">
        <v>94</v>
      </c>
      <c r="D24" s="187" t="s">
        <v>95</v>
      </c>
    </row>
    <row r="25" spans="2:10" x14ac:dyDescent="0.35">
      <c r="B25" s="16" t="s">
        <v>36</v>
      </c>
      <c r="C25" s="10">
        <f>ROUND('Business Baseline'!C3,-3)</f>
        <v>367000</v>
      </c>
      <c r="D25" s="10">
        <f>C25*12</f>
        <v>4404000</v>
      </c>
    </row>
    <row r="26" spans="2:10" x14ac:dyDescent="0.35">
      <c r="B26" s="37" t="s">
        <v>26</v>
      </c>
      <c r="C26" s="17">
        <f>ROUND('Business Baseline'!C4,-3)</f>
        <v>55000</v>
      </c>
      <c r="D26" s="17">
        <f>C26*12</f>
        <v>660000</v>
      </c>
    </row>
    <row r="27" spans="2:10" x14ac:dyDescent="0.35">
      <c r="B27" s="5" t="s">
        <v>13</v>
      </c>
      <c r="C27" s="11">
        <f>SUM(C25:C26)</f>
        <v>422000</v>
      </c>
      <c r="D27" s="11">
        <f>SUM(D25:D26)</f>
        <v>5064000</v>
      </c>
    </row>
    <row r="28" spans="2:10" x14ac:dyDescent="0.35">
      <c r="B28" s="5"/>
      <c r="C28" s="11"/>
      <c r="D28" s="11"/>
    </row>
    <row r="29" spans="2:10" x14ac:dyDescent="0.35">
      <c r="B29" s="5"/>
      <c r="C29" s="11"/>
      <c r="D29" s="11"/>
    </row>
    <row r="30" spans="2:10" x14ac:dyDescent="0.35">
      <c r="C30" s="5" t="s">
        <v>146</v>
      </c>
      <c r="D30" s="5"/>
      <c r="E30" s="5" t="s">
        <v>144</v>
      </c>
      <c r="F30" s="5"/>
      <c r="G30" s="5"/>
      <c r="H30" s="5" t="s">
        <v>145</v>
      </c>
    </row>
    <row r="31" spans="2:10" x14ac:dyDescent="0.35">
      <c r="C31" s="50" t="s">
        <v>143</v>
      </c>
      <c r="D31" s="50"/>
      <c r="E31" s="50" t="s">
        <v>143</v>
      </c>
      <c r="F31" s="165" t="s">
        <v>142</v>
      </c>
      <c r="G31" s="165"/>
      <c r="H31" s="50" t="s">
        <v>143</v>
      </c>
      <c r="I31" s="165" t="s">
        <v>142</v>
      </c>
      <c r="J31" s="165"/>
    </row>
    <row r="32" spans="2:10" x14ac:dyDescent="0.35">
      <c r="B32" s="5" t="s">
        <v>133</v>
      </c>
      <c r="C32" s="39">
        <f>D6</f>
        <v>114170000</v>
      </c>
      <c r="E32" s="39">
        <f>D18</f>
        <v>110110000</v>
      </c>
      <c r="F32" s="39">
        <f>E32-C32</f>
        <v>-4060000</v>
      </c>
      <c r="G32" s="178">
        <f>F32/C32</f>
        <v>-3.5561005518087066E-2</v>
      </c>
      <c r="H32" s="39">
        <f>D12</f>
        <v>108180000</v>
      </c>
      <c r="I32" s="39">
        <f>H32-C32</f>
        <v>-5990000</v>
      </c>
      <c r="J32" s="178">
        <f>I32/C32</f>
        <v>-5.2465621441709728E-2</v>
      </c>
    </row>
    <row r="33" spans="2:10" x14ac:dyDescent="0.35">
      <c r="B33" s="5" t="s">
        <v>134</v>
      </c>
      <c r="C33" s="39">
        <f>E6</f>
        <v>114170000</v>
      </c>
      <c r="E33" s="39">
        <f>E18</f>
        <v>109020000</v>
      </c>
      <c r="F33" s="39">
        <f t="shared" ref="F33:F34" si="7">E33-C33</f>
        <v>-5150000</v>
      </c>
      <c r="G33" s="178">
        <f t="shared" ref="G33:G34" si="8">F33/C33</f>
        <v>-4.5108172024174477E-2</v>
      </c>
      <c r="H33" s="39">
        <f>E12</f>
        <v>98750000</v>
      </c>
      <c r="I33" s="39">
        <f t="shared" ref="I33:I34" si="9">H33-C33</f>
        <v>-15420000</v>
      </c>
      <c r="J33" s="178">
        <f t="shared" ref="J33:J34" si="10">I33/C33</f>
        <v>-0.13506175002189716</v>
      </c>
    </row>
    <row r="34" spans="2:10" x14ac:dyDescent="0.35">
      <c r="B34" s="5" t="s">
        <v>135</v>
      </c>
      <c r="C34" s="39">
        <f>F6</f>
        <v>114170000</v>
      </c>
      <c r="E34" s="39">
        <f>F18</f>
        <v>107930000</v>
      </c>
      <c r="F34" s="39">
        <f t="shared" si="7"/>
        <v>-6240000</v>
      </c>
      <c r="G34" s="178">
        <f t="shared" si="8"/>
        <v>-5.4655338530261888E-2</v>
      </c>
      <c r="H34" s="39">
        <f>F12</f>
        <v>96780000</v>
      </c>
      <c r="I34" s="39">
        <f t="shared" si="9"/>
        <v>-17390000</v>
      </c>
      <c r="J34" s="178">
        <f t="shared" si="10"/>
        <v>-0.15231672067968818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DFBFC-8A16-46C6-A460-6AFBCFD701BA}">
  <sheetPr>
    <tabColor theme="0" tint="-0.14999847407452621"/>
  </sheetPr>
  <dimension ref="B3:AP45"/>
  <sheetViews>
    <sheetView showGridLines="0" topLeftCell="AH1" workbookViewId="0">
      <selection activeCell="G19" sqref="G19"/>
    </sheetView>
  </sheetViews>
  <sheetFormatPr defaultRowHeight="14.5" x14ac:dyDescent="0.35"/>
  <cols>
    <col min="1" max="1" width="1.81640625" customWidth="1"/>
    <col min="2" max="2" width="23.81640625" bestFit="1" customWidth="1"/>
    <col min="3" max="3" width="5.1796875" bestFit="1" customWidth="1"/>
    <col min="4" max="4" width="11.1796875" bestFit="1" customWidth="1"/>
    <col min="5" max="5" width="17.90625" bestFit="1" customWidth="1"/>
    <col min="6" max="6" width="16.81640625" bestFit="1" customWidth="1"/>
    <col min="7" max="7" width="10.1796875" customWidth="1"/>
    <col min="8" max="8" width="10.08984375" customWidth="1"/>
    <col min="9" max="9" width="1.81640625" style="145" customWidth="1"/>
    <col min="10" max="33" width="11.453125" bestFit="1" customWidth="1"/>
    <col min="34" max="35" width="12.453125" bestFit="1" customWidth="1"/>
    <col min="36" max="36" width="13.6328125" bestFit="1" customWidth="1"/>
    <col min="37" max="37" width="15.81640625" bestFit="1" customWidth="1"/>
    <col min="38" max="38" width="15.1796875" customWidth="1"/>
    <col min="39" max="39" width="13.54296875" customWidth="1"/>
    <col min="40" max="42" width="13.54296875" bestFit="1" customWidth="1"/>
  </cols>
  <sheetData>
    <row r="3" spans="2:42" x14ac:dyDescent="0.35">
      <c r="B3" s="131"/>
      <c r="C3" s="139" t="s">
        <v>147</v>
      </c>
      <c r="D3" s="139"/>
      <c r="E3" s="139"/>
      <c r="F3" s="140"/>
      <c r="G3" s="134" t="s">
        <v>145</v>
      </c>
      <c r="H3" s="135"/>
      <c r="I3" s="141"/>
      <c r="J3" s="96" t="s">
        <v>79</v>
      </c>
      <c r="K3" s="97"/>
      <c r="L3" s="96" t="s">
        <v>90</v>
      </c>
      <c r="M3" s="97"/>
      <c r="N3" s="96" t="s">
        <v>89</v>
      </c>
      <c r="O3" s="97"/>
      <c r="P3" s="96" t="s">
        <v>88</v>
      </c>
      <c r="Q3" s="97"/>
      <c r="R3" s="96" t="s">
        <v>87</v>
      </c>
      <c r="S3" s="97"/>
      <c r="T3" s="96" t="s">
        <v>86</v>
      </c>
      <c r="U3" s="97"/>
      <c r="V3" s="96" t="s">
        <v>85</v>
      </c>
      <c r="W3" s="97"/>
      <c r="X3" s="97" t="s">
        <v>84</v>
      </c>
      <c r="Y3" s="97"/>
      <c r="Z3" s="97" t="s">
        <v>83</v>
      </c>
      <c r="AA3" s="97"/>
      <c r="AB3" s="97" t="s">
        <v>82</v>
      </c>
      <c r="AC3" s="97"/>
      <c r="AD3" s="97" t="s">
        <v>81</v>
      </c>
      <c r="AE3" s="97"/>
      <c r="AF3" s="97" t="s">
        <v>80</v>
      </c>
      <c r="AG3" s="97"/>
      <c r="AH3" s="152" t="s">
        <v>114</v>
      </c>
      <c r="AI3" s="40"/>
      <c r="AJ3" s="61"/>
      <c r="AK3" s="152" t="s">
        <v>123</v>
      </c>
      <c r="AL3" s="40"/>
      <c r="AM3" s="61"/>
      <c r="AN3" s="152" t="s">
        <v>124</v>
      </c>
      <c r="AO3" s="40"/>
      <c r="AP3" s="61"/>
    </row>
    <row r="4" spans="2:42" x14ac:dyDescent="0.35">
      <c r="B4" s="5"/>
      <c r="C4" s="137" t="s">
        <v>53</v>
      </c>
      <c r="D4" s="137" t="s">
        <v>33</v>
      </c>
      <c r="E4" s="137" t="s">
        <v>99</v>
      </c>
      <c r="F4" s="138" t="s">
        <v>100</v>
      </c>
      <c r="G4" s="137" t="s">
        <v>1</v>
      </c>
      <c r="H4" s="137" t="s">
        <v>33</v>
      </c>
      <c r="I4" s="142"/>
      <c r="J4" s="111" t="s">
        <v>36</v>
      </c>
      <c r="K4" s="112" t="s">
        <v>26</v>
      </c>
      <c r="L4" s="111" t="s">
        <v>36</v>
      </c>
      <c r="M4" s="112" t="s">
        <v>26</v>
      </c>
      <c r="N4" s="111" t="s">
        <v>36</v>
      </c>
      <c r="O4" s="112" t="s">
        <v>26</v>
      </c>
      <c r="P4" s="111" t="s">
        <v>36</v>
      </c>
      <c r="Q4" s="112" t="s">
        <v>26</v>
      </c>
      <c r="R4" s="111" t="s">
        <v>36</v>
      </c>
      <c r="S4" s="112" t="s">
        <v>26</v>
      </c>
      <c r="T4" s="111" t="s">
        <v>36</v>
      </c>
      <c r="U4" s="112" t="s">
        <v>26</v>
      </c>
      <c r="V4" s="111" t="s">
        <v>36</v>
      </c>
      <c r="W4" s="111" t="s">
        <v>26</v>
      </c>
      <c r="X4" s="151" t="s">
        <v>36</v>
      </c>
      <c r="Y4" s="112" t="s">
        <v>26</v>
      </c>
      <c r="Z4" s="111" t="s">
        <v>36</v>
      </c>
      <c r="AA4" s="111" t="s">
        <v>26</v>
      </c>
      <c r="AB4" s="151" t="s">
        <v>36</v>
      </c>
      <c r="AC4" s="112" t="s">
        <v>26</v>
      </c>
      <c r="AD4" s="111" t="s">
        <v>36</v>
      </c>
      <c r="AE4" s="111" t="s">
        <v>26</v>
      </c>
      <c r="AF4" s="151" t="s">
        <v>36</v>
      </c>
      <c r="AG4" s="112" t="s">
        <v>26</v>
      </c>
      <c r="AH4" s="6" t="s">
        <v>49</v>
      </c>
      <c r="AI4" s="6" t="s">
        <v>50</v>
      </c>
      <c r="AJ4" s="58" t="s">
        <v>47</v>
      </c>
      <c r="AK4" s="6" t="s">
        <v>49</v>
      </c>
      <c r="AL4" s="6" t="s">
        <v>50</v>
      </c>
      <c r="AM4" s="58" t="s">
        <v>47</v>
      </c>
      <c r="AN4" s="6" t="s">
        <v>49</v>
      </c>
      <c r="AO4" s="6" t="s">
        <v>50</v>
      </c>
      <c r="AP4" s="58" t="s">
        <v>47</v>
      </c>
    </row>
    <row r="5" spans="2:42" x14ac:dyDescent="0.35">
      <c r="B5" t="s">
        <v>10</v>
      </c>
      <c r="C5" s="46">
        <f>VLOOKUP($B5,'Business Baseline'!$B$14:$D$23,3,FALSE)</f>
        <v>0.39500000000000002</v>
      </c>
      <c r="D5" s="100">
        <f>VLOOKUP($B5,'Business Baseline'!$B$14:$D$23,2,FALSE)</f>
        <v>15</v>
      </c>
      <c r="E5" s="98">
        <f>C5*'Business Baseline'!$C$3</f>
        <v>145029.32520095</v>
      </c>
      <c r="F5" s="136">
        <f>C5*'Business Baseline'!$C$4</f>
        <v>21754.398780142503</v>
      </c>
      <c r="G5" s="99">
        <v>0.315</v>
      </c>
      <c r="H5" s="44">
        <f>'MSP 1 Pay Rates'!E15</f>
        <v>14.95</v>
      </c>
      <c r="I5" s="143"/>
      <c r="J5" s="110">
        <f>SUMIF('Business Baseline'!$K:$K,$B5,'Business Baseline'!$R:$R)</f>
        <v>2989614.9252489139</v>
      </c>
      <c r="K5" s="109">
        <f>SUMIF('Business Baseline'!$K:$K,$B5,'Business Baseline'!$S:$S)</f>
        <v>672663.35818100593</v>
      </c>
      <c r="L5" s="110">
        <f>SUMIF('Business Baseline'!$K:$K,$B5,'Business Baseline'!$R:$R)</f>
        <v>2989614.9252489139</v>
      </c>
      <c r="M5" s="109">
        <f>SUMIF('Business Baseline'!$K:$K,$B5,'Business Baseline'!$S:$S)</f>
        <v>672663.35818100593</v>
      </c>
      <c r="N5" s="110">
        <f>SUMIF('Business Baseline'!$K:$K,$B5,'Business Baseline'!$R:$R)</f>
        <v>2989614.9252489139</v>
      </c>
      <c r="O5" s="109">
        <f>SUMIF('Business Baseline'!$K:$K,$B5,'Business Baseline'!$S:$S)</f>
        <v>672663.35818100593</v>
      </c>
      <c r="P5" s="110">
        <f>SUMIF('Business Baseline'!$K:$K,$B5,'Business Baseline'!$R:$R)</f>
        <v>2989614.9252489139</v>
      </c>
      <c r="Q5" s="109">
        <f>SUMIF('Business Baseline'!$K:$K,$B5,'Business Baseline'!$S:$S)</f>
        <v>672663.35818100593</v>
      </c>
      <c r="R5" s="110">
        <f>SUMIF('Business Baseline'!$K:$K,$B5,'Business Baseline'!$R:$R)</f>
        <v>2989614.9252489139</v>
      </c>
      <c r="S5" s="109">
        <f>SUMIF('Business Baseline'!$K:$K,$B5,'Business Baseline'!$S:$S)</f>
        <v>672663.35818100593</v>
      </c>
      <c r="T5" s="110">
        <f>SUMIF('Business Baseline'!$K:$K,$B5,'Business Baseline'!$R:$R)</f>
        <v>2989614.9252489139</v>
      </c>
      <c r="U5" s="109">
        <f>SUMIF('Business Baseline'!$K:$K,$B5,'Business Baseline'!$S:$S)</f>
        <v>672663.35818100593</v>
      </c>
      <c r="V5" s="110">
        <f>($V$20*($E5*$H5*(1+$G5)))+($V$21*($E5*$D5*(1+$G5)))</f>
        <v>2859511.4798222436</v>
      </c>
      <c r="W5" s="109">
        <f>($V$20*($F5*$H5*(1+$G5)))+($V$21*($F5*$D5*(1+$G5)))</f>
        <v>428926.72197333659</v>
      </c>
      <c r="X5" s="110">
        <f>($V$20*($E5*$H5*(1+$G5)))+($V$21*($E5*$D5*(1+$G5)))</f>
        <v>2859511.4798222436</v>
      </c>
      <c r="Y5" s="109">
        <f>($V$20*($F5*$H5*(1+$G5)))+($V$21*($F5*$D5*(1+$G5)))</f>
        <v>428926.72197333659</v>
      </c>
      <c r="Z5" s="110">
        <f>($V$20*($E5*$H5*(1+$G5)))+($V$21*($E5*$D5*(1+$G5)))</f>
        <v>2859511.4798222436</v>
      </c>
      <c r="AA5" s="109">
        <f>($V$20*($F5*$H5*(1+$G5)))+($V$21*($F5*$D5*(1+$G5)))</f>
        <v>428926.72197333659</v>
      </c>
      <c r="AB5" s="110">
        <f>($V$20*($E5*$H5*(1+$G5)))+($V$21*($E5*$D5*(1+$G5)))</f>
        <v>2859511.4798222436</v>
      </c>
      <c r="AC5" s="109">
        <f>($V$20*($F5*$H5*(1+$G5)))+($V$21*($F5*$D5*(1+$G5)))</f>
        <v>428926.72197333659</v>
      </c>
      <c r="AD5" s="110">
        <f>($V$20*($E5*$H5*(1+$G5)))+($V$21*($E5*$D5*(1+$G5)))</f>
        <v>2859511.4798222436</v>
      </c>
      <c r="AE5" s="109">
        <f>($V$20*($F5*$H5*(1+$G5)))+($V$21*($F5*$D5*(1+$G5)))</f>
        <v>428926.72197333659</v>
      </c>
      <c r="AF5" s="110">
        <f>($V$20*($E5*$H5*(1+$G5)))+($V$21*($E5*$D5*(1+$G5)))</f>
        <v>2859511.4798222436</v>
      </c>
      <c r="AG5" s="109">
        <f>($V$20*($F5*$H5*(1+$G5)))+($V$21*($F5*$D5*(1+$G5)))</f>
        <v>428926.72197333659</v>
      </c>
      <c r="AH5" s="28">
        <f>SUM(J5,L5,N5,P5,R5,T5,V5,X5,Z5,AB5,AD5,AF5)</f>
        <v>35094758.430426948</v>
      </c>
      <c r="AI5" s="28">
        <f>SUM(K5,M5,O5,Q5,S5,U5,W5,Y5,AA5,AC5,AE5,AG5)</f>
        <v>6609540.4809260536</v>
      </c>
      <c r="AJ5" s="59">
        <f t="shared" ref="AJ5:AJ14" si="0">SUM(AH5:AI5)</f>
        <v>41704298.911353</v>
      </c>
      <c r="AK5" s="28">
        <f>(($AK$20*($E5*$H5*(1+$G5)))+($AK$21*($E5*$D5*(1+$G5))))*12*(1-$AK$22)</f>
        <v>33270839.213448912</v>
      </c>
      <c r="AL5" s="28">
        <f>(($AK$20*($F5*$H5*(1+$G5)))+($AK$21*($F5*$D5*(1+$G5))))*12*(1-$AK$22)</f>
        <v>4990625.8820173377</v>
      </c>
      <c r="AM5" s="59">
        <f t="shared" ref="AM5:AM14" si="1">SUM(AK5:AL5)</f>
        <v>38261465.095466249</v>
      </c>
      <c r="AN5" s="28">
        <f>AK5*(1-$AN$20)</f>
        <v>32605422.429179933</v>
      </c>
      <c r="AO5" s="28">
        <f t="shared" ref="AO5:AO14" si="2">AL5*(1-$AN$20)</f>
        <v>4890813.3643769911</v>
      </c>
      <c r="AP5" s="59">
        <f t="shared" ref="AP5:AP14" si="3">SUM(AN5:AO5)</f>
        <v>37496235.793556921</v>
      </c>
    </row>
    <row r="6" spans="2:42" x14ac:dyDescent="0.35">
      <c r="B6" t="s">
        <v>4</v>
      </c>
      <c r="C6" s="46">
        <f>VLOOKUP($B6,'Business Baseline'!$B$14:$D$23,3,FALSE)</f>
        <v>0.34260000000000002</v>
      </c>
      <c r="D6" s="100">
        <f>VLOOKUP($B6,'Business Baseline'!$B$14:$D$23,2,FALSE)</f>
        <v>14.5</v>
      </c>
      <c r="E6" s="98">
        <f>C6*'Business Baseline'!$C$3</f>
        <v>125789.991933786</v>
      </c>
      <c r="F6" s="136">
        <f>C6*'Business Baseline'!$C$4</f>
        <v>18868.498790067901</v>
      </c>
      <c r="G6" s="99">
        <v>0.315</v>
      </c>
      <c r="H6" s="44">
        <f>'MSP 1 Pay Rates'!E5</f>
        <v>14.08</v>
      </c>
      <c r="I6" s="143"/>
      <c r="J6" s="110">
        <f>SUMIF('Business Baseline'!$K:$K,$B6,'Business Baseline'!$R:$R)</f>
        <v>2506583.9770732545</v>
      </c>
      <c r="K6" s="109">
        <f>SUMIF('Business Baseline'!$K:$K,$B6,'Business Baseline'!$S:$S)</f>
        <v>563981.39484148228</v>
      </c>
      <c r="L6" s="110">
        <f>SUMIF('Business Baseline'!$K:$K,$B6,'Business Baseline'!$R:$R)</f>
        <v>2506583.9770732545</v>
      </c>
      <c r="M6" s="109">
        <f>SUMIF('Business Baseline'!$K:$K,$B6,'Business Baseline'!$S:$S)</f>
        <v>563981.39484148228</v>
      </c>
      <c r="N6" s="110">
        <f>SUMIF('Business Baseline'!$K:$K,$B6,'Business Baseline'!$R:$R)</f>
        <v>2506583.9770732545</v>
      </c>
      <c r="O6" s="109">
        <f>SUMIF('Business Baseline'!$K:$K,$B6,'Business Baseline'!$S:$S)</f>
        <v>563981.39484148228</v>
      </c>
      <c r="P6" s="110">
        <f>SUMIF('Business Baseline'!$K:$K,$B6,'Business Baseline'!$R:$R)</f>
        <v>2506583.9770732545</v>
      </c>
      <c r="Q6" s="109">
        <f>SUMIF('Business Baseline'!$K:$K,$B6,'Business Baseline'!$S:$S)</f>
        <v>563981.39484148228</v>
      </c>
      <c r="R6" s="110">
        <f>SUMIF('Business Baseline'!$K:$K,$B6,'Business Baseline'!$R:$R)</f>
        <v>2506583.9770732545</v>
      </c>
      <c r="S6" s="109">
        <f>SUMIF('Business Baseline'!$K:$K,$B6,'Business Baseline'!$S:$S)</f>
        <v>563981.39484148228</v>
      </c>
      <c r="T6" s="110">
        <f>SUMIF('Business Baseline'!$K:$K,$B6,'Business Baseline'!$R:$R)</f>
        <v>2506583.9770732545</v>
      </c>
      <c r="U6" s="109">
        <f>SUMIF('Business Baseline'!$K:$K,$B6,'Business Baseline'!$S:$S)</f>
        <v>563981.39484148228</v>
      </c>
      <c r="V6" s="110">
        <f t="shared" ref="V6:AF14" si="4">($V$20*($E6*$H6*(1+$G6)))+($V$21*($E6*$D6*(1+$G6)))</f>
        <v>2389816.4446293358</v>
      </c>
      <c r="W6" s="109">
        <f t="shared" ref="W6:AG14" si="5">($V$20*($F6*$H6*(1+$G6)))+($V$21*($F6*$D6*(1+$G6)))</f>
        <v>358472.46669440041</v>
      </c>
      <c r="X6" s="110">
        <f t="shared" si="4"/>
        <v>2389816.4446293358</v>
      </c>
      <c r="Y6" s="109">
        <f t="shared" si="5"/>
        <v>358472.46669440041</v>
      </c>
      <c r="Z6" s="110">
        <f t="shared" si="4"/>
        <v>2389816.4446293358</v>
      </c>
      <c r="AA6" s="109">
        <f t="shared" si="5"/>
        <v>358472.46669440041</v>
      </c>
      <c r="AB6" s="110">
        <f t="shared" si="4"/>
        <v>2389816.4446293358</v>
      </c>
      <c r="AC6" s="109">
        <f t="shared" si="5"/>
        <v>358472.46669440041</v>
      </c>
      <c r="AD6" s="110">
        <f t="shared" si="4"/>
        <v>2389816.4446293358</v>
      </c>
      <c r="AE6" s="109">
        <f t="shared" si="5"/>
        <v>358472.46669440041</v>
      </c>
      <c r="AF6" s="110">
        <f t="shared" si="4"/>
        <v>2389816.4446293358</v>
      </c>
      <c r="AG6" s="109">
        <f t="shared" si="5"/>
        <v>358472.46669440041</v>
      </c>
      <c r="AH6" s="28">
        <f t="shared" ref="AH6:AH14" si="6">SUM(J6,L6,N6,P6,R6,T6,V6,X6,Z6,AB6,AD6,AF6)</f>
        <v>29378402.530215532</v>
      </c>
      <c r="AI6" s="28">
        <f t="shared" ref="AI6:AI14" si="7">SUM(K6,M6,O6,Q6,S6,U6,W6,Y6,AA6,AC6,AE6,AG6)</f>
        <v>5534723.1692152973</v>
      </c>
      <c r="AJ6" s="59">
        <f t="shared" si="0"/>
        <v>34913125.699430831</v>
      </c>
      <c r="AK6" s="28">
        <f t="shared" ref="AK6:AK14" si="8">(($AK$20*($E6*$H6*(1+$G6)))+($AK$21*($E6*$D6*(1+$G6))))*12*(1-$AK$22)</f>
        <v>27716379.018232454</v>
      </c>
      <c r="AL6" s="28">
        <f t="shared" ref="AL6:AL14" si="9">(($AK$20*($F6*$H6*(1+$G6)))+($AK$21*($F6*$D6*(1+$G6))))*12*(1-$AK$22)</f>
        <v>4157456.852734867</v>
      </c>
      <c r="AM6" s="59">
        <f t="shared" si="1"/>
        <v>31873835.870967321</v>
      </c>
      <c r="AN6" s="28">
        <f t="shared" ref="AN6:AN14" si="10">AK6*(1-$AN$20)</f>
        <v>27162051.437867805</v>
      </c>
      <c r="AO6" s="28">
        <f t="shared" si="2"/>
        <v>4074307.7156801694</v>
      </c>
      <c r="AP6" s="59">
        <f t="shared" si="3"/>
        <v>31236359.153547976</v>
      </c>
    </row>
    <row r="7" spans="2:42" x14ac:dyDescent="0.35">
      <c r="B7" t="s">
        <v>3</v>
      </c>
      <c r="C7" s="46">
        <f>VLOOKUP($B7,'Business Baseline'!$B$14:$D$23,3,FALSE)</f>
        <v>8.5000000000000006E-2</v>
      </c>
      <c r="D7" s="100">
        <f>VLOOKUP($B7,'Business Baseline'!$B$14:$D$23,2,FALSE)</f>
        <v>16</v>
      </c>
      <c r="E7" s="98">
        <f>C7*'Business Baseline'!$C$3</f>
        <v>31208.84213185</v>
      </c>
      <c r="F7" s="136">
        <f>C7*'Business Baseline'!$C$4</f>
        <v>4681.3263197775004</v>
      </c>
      <c r="G7" s="99">
        <v>0.315</v>
      </c>
      <c r="H7" s="44">
        <f>'MSP 1 Pay Rates'!E13</f>
        <v>16.07</v>
      </c>
      <c r="I7" s="143"/>
      <c r="J7" s="110">
        <f>SUMIF('Business Baseline'!$K:$K,$B7,'Business Baseline'!$R:$R)</f>
        <v>686223.84782084799</v>
      </c>
      <c r="K7" s="109">
        <f>SUMIF('Business Baseline'!$K:$K,$B7,'Business Baseline'!$S:$S)</f>
        <v>154400.36575969082</v>
      </c>
      <c r="L7" s="110">
        <f>SUMIF('Business Baseline'!$K:$K,$B7,'Business Baseline'!$R:$R)</f>
        <v>686223.84782084799</v>
      </c>
      <c r="M7" s="109">
        <f>SUMIF('Business Baseline'!$K:$K,$B7,'Business Baseline'!$S:$S)</f>
        <v>154400.36575969082</v>
      </c>
      <c r="N7" s="110">
        <f>SUMIF('Business Baseline'!$K:$K,$B7,'Business Baseline'!$R:$R)</f>
        <v>686223.84782084799</v>
      </c>
      <c r="O7" s="109">
        <f>SUMIF('Business Baseline'!$K:$K,$B7,'Business Baseline'!$S:$S)</f>
        <v>154400.36575969082</v>
      </c>
      <c r="P7" s="110">
        <f>SUMIF('Business Baseline'!$K:$K,$B7,'Business Baseline'!$R:$R)</f>
        <v>686223.84782084799</v>
      </c>
      <c r="Q7" s="109">
        <f>SUMIF('Business Baseline'!$K:$K,$B7,'Business Baseline'!$S:$S)</f>
        <v>154400.36575969082</v>
      </c>
      <c r="R7" s="110">
        <f>SUMIF('Business Baseline'!$K:$K,$B7,'Business Baseline'!$R:$R)</f>
        <v>686223.84782084799</v>
      </c>
      <c r="S7" s="109">
        <f>SUMIF('Business Baseline'!$K:$K,$B7,'Business Baseline'!$S:$S)</f>
        <v>154400.36575969082</v>
      </c>
      <c r="T7" s="110">
        <f>SUMIF('Business Baseline'!$K:$K,$B7,'Business Baseline'!$R:$R)</f>
        <v>686223.84782084799</v>
      </c>
      <c r="U7" s="109">
        <f>SUMIF('Business Baseline'!$K:$K,$B7,'Business Baseline'!$S:$S)</f>
        <v>154400.36575969082</v>
      </c>
      <c r="V7" s="110">
        <f t="shared" si="4"/>
        <v>656993.1351939037</v>
      </c>
      <c r="W7" s="109">
        <f t="shared" si="5"/>
        <v>98548.970279085537</v>
      </c>
      <c r="X7" s="110">
        <f t="shared" si="4"/>
        <v>656993.1351939037</v>
      </c>
      <c r="Y7" s="109">
        <f t="shared" si="5"/>
        <v>98548.970279085537</v>
      </c>
      <c r="Z7" s="110">
        <f t="shared" si="4"/>
        <v>656993.1351939037</v>
      </c>
      <c r="AA7" s="109">
        <f t="shared" si="5"/>
        <v>98548.970279085537</v>
      </c>
      <c r="AB7" s="110">
        <f t="shared" si="4"/>
        <v>656993.1351939037</v>
      </c>
      <c r="AC7" s="109">
        <f t="shared" si="5"/>
        <v>98548.970279085537</v>
      </c>
      <c r="AD7" s="110">
        <f t="shared" si="4"/>
        <v>656993.1351939037</v>
      </c>
      <c r="AE7" s="109">
        <f t="shared" si="5"/>
        <v>98548.970279085537</v>
      </c>
      <c r="AF7" s="110">
        <f t="shared" si="4"/>
        <v>656993.1351939037</v>
      </c>
      <c r="AG7" s="109">
        <f t="shared" si="5"/>
        <v>98548.970279085537</v>
      </c>
      <c r="AH7" s="28">
        <f t="shared" si="6"/>
        <v>8059301.898088512</v>
      </c>
      <c r="AI7" s="28">
        <f t="shared" si="7"/>
        <v>1517696.0162326577</v>
      </c>
      <c r="AJ7" s="59">
        <f t="shared" si="0"/>
        <v>9576997.9143211693</v>
      </c>
      <c r="AK7" s="28">
        <f t="shared" si="8"/>
        <v>7651579.9797080718</v>
      </c>
      <c r="AL7" s="28">
        <f t="shared" si="9"/>
        <v>1147736.9969562108</v>
      </c>
      <c r="AM7" s="59">
        <f t="shared" si="1"/>
        <v>8799316.9766642824</v>
      </c>
      <c r="AN7" s="28">
        <f t="shared" si="10"/>
        <v>7498548.38011391</v>
      </c>
      <c r="AO7" s="28">
        <f t="shared" si="2"/>
        <v>1124782.2570170865</v>
      </c>
      <c r="AP7" s="59">
        <f t="shared" si="3"/>
        <v>8623330.6371309962</v>
      </c>
    </row>
    <row r="8" spans="2:42" x14ac:dyDescent="0.35">
      <c r="B8" t="s">
        <v>29</v>
      </c>
      <c r="C8" s="46">
        <f>VLOOKUP($B8,'Business Baseline'!$B$14:$D$23,3,FALSE)</f>
        <v>4.8500000000000001E-2</v>
      </c>
      <c r="D8" s="100">
        <f>VLOOKUP($B8,'Business Baseline'!$B$14:$D$23,2,FALSE)</f>
        <v>17</v>
      </c>
      <c r="E8" s="98">
        <f>C8*'Business Baseline'!$C$3</f>
        <v>17807.398157585001</v>
      </c>
      <c r="F8" s="136">
        <f>C8*'Business Baseline'!$C$4</f>
        <v>2671.1097236377504</v>
      </c>
      <c r="G8" s="99">
        <v>0.315</v>
      </c>
      <c r="H8" s="44">
        <f>'MSP 1 Pay Rates'!E12</f>
        <v>14.6</v>
      </c>
      <c r="I8" s="143"/>
      <c r="J8" s="110">
        <f>SUMIF('Business Baseline'!$K:$K,$B8,'Business Baseline'!$R:$R)</f>
        <v>416023.20774138899</v>
      </c>
      <c r="K8" s="109">
        <f>SUMIF('Business Baseline'!$K:$K,$B8,'Business Baseline'!$S:$S)</f>
        <v>93605.221741812551</v>
      </c>
      <c r="L8" s="110">
        <f>SUMIF('Business Baseline'!$K:$K,$B8,'Business Baseline'!$R:$R)</f>
        <v>416023.20774138899</v>
      </c>
      <c r="M8" s="109">
        <f>SUMIF('Business Baseline'!$K:$K,$B8,'Business Baseline'!$S:$S)</f>
        <v>93605.221741812551</v>
      </c>
      <c r="N8" s="110">
        <f>SUMIF('Business Baseline'!$K:$K,$B8,'Business Baseline'!$R:$R)</f>
        <v>416023.20774138899</v>
      </c>
      <c r="O8" s="109">
        <f>SUMIF('Business Baseline'!$K:$K,$B8,'Business Baseline'!$S:$S)</f>
        <v>93605.221741812551</v>
      </c>
      <c r="P8" s="110">
        <f>SUMIF('Business Baseline'!$K:$K,$B8,'Business Baseline'!$R:$R)</f>
        <v>416023.20774138899</v>
      </c>
      <c r="Q8" s="109">
        <f>SUMIF('Business Baseline'!$K:$K,$B8,'Business Baseline'!$S:$S)</f>
        <v>93605.221741812551</v>
      </c>
      <c r="R8" s="110">
        <f>SUMIF('Business Baseline'!$K:$K,$B8,'Business Baseline'!$R:$R)</f>
        <v>416023.20774138899</v>
      </c>
      <c r="S8" s="109">
        <f>SUMIF('Business Baseline'!$K:$K,$B8,'Business Baseline'!$S:$S)</f>
        <v>93605.221741812551</v>
      </c>
      <c r="T8" s="110">
        <f>SUMIF('Business Baseline'!$K:$K,$B8,'Business Baseline'!$R:$R)</f>
        <v>416023.20774138899</v>
      </c>
      <c r="U8" s="109">
        <f>SUMIF('Business Baseline'!$K:$K,$B8,'Business Baseline'!$S:$S)</f>
        <v>93605.221741812551</v>
      </c>
      <c r="V8" s="110">
        <f t="shared" si="4"/>
        <v>391059.36723964545</v>
      </c>
      <c r="W8" s="109">
        <f t="shared" si="5"/>
        <v>58658.905085946819</v>
      </c>
      <c r="X8" s="110">
        <f t="shared" si="4"/>
        <v>391059.36723964545</v>
      </c>
      <c r="Y8" s="109">
        <f t="shared" si="5"/>
        <v>58658.905085946819</v>
      </c>
      <c r="Z8" s="110">
        <f t="shared" si="4"/>
        <v>391059.36723964545</v>
      </c>
      <c r="AA8" s="109">
        <f t="shared" si="5"/>
        <v>58658.905085946819</v>
      </c>
      <c r="AB8" s="110">
        <f t="shared" si="4"/>
        <v>391059.36723964545</v>
      </c>
      <c r="AC8" s="109">
        <f t="shared" si="5"/>
        <v>58658.905085946819</v>
      </c>
      <c r="AD8" s="110">
        <f t="shared" si="4"/>
        <v>391059.36723964545</v>
      </c>
      <c r="AE8" s="109">
        <f t="shared" si="5"/>
        <v>58658.905085946819</v>
      </c>
      <c r="AF8" s="110">
        <f t="shared" si="4"/>
        <v>391059.36723964545</v>
      </c>
      <c r="AG8" s="109">
        <f t="shared" si="5"/>
        <v>58658.905085946819</v>
      </c>
      <c r="AH8" s="28">
        <f t="shared" si="6"/>
        <v>4842495.4498862075</v>
      </c>
      <c r="AI8" s="28">
        <f t="shared" si="7"/>
        <v>913584.76096655603</v>
      </c>
      <c r="AJ8" s="59">
        <f t="shared" si="0"/>
        <v>5756080.2108527636</v>
      </c>
      <c r="AK8" s="28">
        <f t="shared" si="8"/>
        <v>4470159.8184778057</v>
      </c>
      <c r="AL8" s="28">
        <f t="shared" si="9"/>
        <v>670523.9727716709</v>
      </c>
      <c r="AM8" s="59">
        <f t="shared" si="1"/>
        <v>5140683.7912494764</v>
      </c>
      <c r="AN8" s="28">
        <f t="shared" si="10"/>
        <v>4380756.6221082499</v>
      </c>
      <c r="AO8" s="28">
        <f t="shared" si="2"/>
        <v>657113.49331623747</v>
      </c>
      <c r="AP8" s="59">
        <f t="shared" si="3"/>
        <v>5037870.1154244877</v>
      </c>
    </row>
    <row r="9" spans="2:42" x14ac:dyDescent="0.35">
      <c r="B9" t="s">
        <v>6</v>
      </c>
      <c r="C9" s="46">
        <f>VLOOKUP($B9,'Business Baseline'!$B$14:$D$23,3,FALSE)</f>
        <v>4.7199999999999999E-2</v>
      </c>
      <c r="D9" s="100">
        <f>VLOOKUP($B9,'Business Baseline'!$B$14:$D$23,2,FALSE)</f>
        <v>18</v>
      </c>
      <c r="E9" s="98">
        <f>C9*'Business Baseline'!$C$3</f>
        <v>17330.086454392</v>
      </c>
      <c r="F9" s="136">
        <f>C9*'Business Baseline'!$C$4</f>
        <v>2599.5129681588</v>
      </c>
      <c r="G9" s="99">
        <v>0.315</v>
      </c>
      <c r="H9" s="44">
        <f>'MSP 1 Pay Rates'!E9</f>
        <v>17.64</v>
      </c>
      <c r="I9" s="143"/>
      <c r="J9" s="110">
        <f>SUMIF('Business Baseline'!$K:$K,$B9,'Business Baseline'!$R:$R)</f>
        <v>428688.07434455329</v>
      </c>
      <c r="K9" s="109">
        <f>SUMIF('Business Baseline'!$K:$K,$B9,'Business Baseline'!$S:$S)</f>
        <v>96454.816727524507</v>
      </c>
      <c r="L9" s="110">
        <f>SUMIF('Business Baseline'!$K:$K,$B9,'Business Baseline'!$R:$R)</f>
        <v>428688.07434455329</v>
      </c>
      <c r="M9" s="109">
        <f>SUMIF('Business Baseline'!$K:$K,$B9,'Business Baseline'!$S:$S)</f>
        <v>96454.816727524507</v>
      </c>
      <c r="N9" s="110">
        <f>SUMIF('Business Baseline'!$K:$K,$B9,'Business Baseline'!$R:$R)</f>
        <v>428688.07434455329</v>
      </c>
      <c r="O9" s="109">
        <f>SUMIF('Business Baseline'!$K:$K,$B9,'Business Baseline'!$S:$S)</f>
        <v>96454.816727524507</v>
      </c>
      <c r="P9" s="110">
        <f>SUMIF('Business Baseline'!$K:$K,$B9,'Business Baseline'!$R:$R)</f>
        <v>428688.07434455329</v>
      </c>
      <c r="Q9" s="109">
        <f>SUMIF('Business Baseline'!$K:$K,$B9,'Business Baseline'!$S:$S)</f>
        <v>96454.816727524507</v>
      </c>
      <c r="R9" s="110">
        <f>SUMIF('Business Baseline'!$K:$K,$B9,'Business Baseline'!$R:$R)</f>
        <v>428688.07434455329</v>
      </c>
      <c r="S9" s="109">
        <f>SUMIF('Business Baseline'!$K:$K,$B9,'Business Baseline'!$S:$S)</f>
        <v>96454.816727524507</v>
      </c>
      <c r="T9" s="110">
        <f>SUMIF('Business Baseline'!$K:$K,$B9,'Business Baseline'!$R:$R)</f>
        <v>428688.07434455329</v>
      </c>
      <c r="U9" s="109">
        <f>SUMIF('Business Baseline'!$K:$K,$B9,'Business Baseline'!$S:$S)</f>
        <v>96454.816727524507</v>
      </c>
      <c r="V9" s="110">
        <f t="shared" si="4"/>
        <v>409177.63850951998</v>
      </c>
      <c r="W9" s="109">
        <f t="shared" si="5"/>
        <v>61376.645776427998</v>
      </c>
      <c r="X9" s="110">
        <f t="shared" si="4"/>
        <v>409177.63850951998</v>
      </c>
      <c r="Y9" s="109">
        <f t="shared" si="5"/>
        <v>61376.645776427998</v>
      </c>
      <c r="Z9" s="110">
        <f t="shared" si="4"/>
        <v>409177.63850951998</v>
      </c>
      <c r="AA9" s="109">
        <f t="shared" si="5"/>
        <v>61376.645776427998</v>
      </c>
      <c r="AB9" s="110">
        <f t="shared" si="4"/>
        <v>409177.63850951998</v>
      </c>
      <c r="AC9" s="109">
        <f t="shared" si="5"/>
        <v>61376.645776427998</v>
      </c>
      <c r="AD9" s="110">
        <f t="shared" si="4"/>
        <v>409177.63850951998</v>
      </c>
      <c r="AE9" s="109">
        <f t="shared" si="5"/>
        <v>61376.645776427998</v>
      </c>
      <c r="AF9" s="110">
        <f t="shared" si="4"/>
        <v>409177.63850951998</v>
      </c>
      <c r="AG9" s="109">
        <f t="shared" si="5"/>
        <v>61376.645776427998</v>
      </c>
      <c r="AH9" s="28">
        <f t="shared" si="6"/>
        <v>5027194.2771244394</v>
      </c>
      <c r="AI9" s="28">
        <f t="shared" si="7"/>
        <v>946988.77502371534</v>
      </c>
      <c r="AJ9" s="59">
        <f t="shared" si="0"/>
        <v>5974183.0521481549</v>
      </c>
      <c r="AK9" s="28">
        <f t="shared" si="8"/>
        <v>4750890.800691287</v>
      </c>
      <c r="AL9" s="28">
        <f t="shared" si="9"/>
        <v>712633.62010369299</v>
      </c>
      <c r="AM9" s="59">
        <f t="shared" si="1"/>
        <v>5463524.4207949797</v>
      </c>
      <c r="AN9" s="28">
        <f t="shared" si="10"/>
        <v>4655872.984677461</v>
      </c>
      <c r="AO9" s="28">
        <f t="shared" si="2"/>
        <v>698380.94770161912</v>
      </c>
      <c r="AP9" s="59">
        <f t="shared" si="3"/>
        <v>5354253.93237908</v>
      </c>
    </row>
    <row r="10" spans="2:42" x14ac:dyDescent="0.35">
      <c r="B10" t="s">
        <v>30</v>
      </c>
      <c r="C10" s="46">
        <f>VLOOKUP($B10,'Business Baseline'!$B$14:$D$23,3,FALSE)</f>
        <v>3.6999999999999998E-2</v>
      </c>
      <c r="D10" s="100">
        <f>VLOOKUP($B10,'Business Baseline'!$B$14:$D$23,2,FALSE)</f>
        <v>18</v>
      </c>
      <c r="E10" s="98">
        <f>C10*'Business Baseline'!$C$3</f>
        <v>13585.025398569998</v>
      </c>
      <c r="F10" s="136">
        <f>C10*'Business Baseline'!$C$4</f>
        <v>2037.7538097855002</v>
      </c>
      <c r="G10" s="99">
        <v>0.315</v>
      </c>
      <c r="H10" s="44">
        <f>'MSP 1 Pay Rates'!E12</f>
        <v>14.6</v>
      </c>
      <c r="I10" s="143"/>
      <c r="J10" s="110">
        <f>SUMIF('Business Baseline'!$K:$K,$B10,'Business Baseline'!$R:$R)</f>
        <v>336047.85488873872</v>
      </c>
      <c r="K10" s="109">
        <f>SUMIF('Business Baseline'!$K:$K,$B10,'Business Baseline'!$S:$S)</f>
        <v>75610.767349966205</v>
      </c>
      <c r="L10" s="110">
        <f>SUMIF('Business Baseline'!$K:$K,$B10,'Business Baseline'!$R:$R)</f>
        <v>336047.85488873872</v>
      </c>
      <c r="M10" s="109">
        <f>SUMIF('Business Baseline'!$K:$K,$B10,'Business Baseline'!$S:$S)</f>
        <v>75610.767349966205</v>
      </c>
      <c r="N10" s="110">
        <f>SUMIF('Business Baseline'!$K:$K,$B10,'Business Baseline'!$R:$R)</f>
        <v>336047.85488873872</v>
      </c>
      <c r="O10" s="109">
        <f>SUMIF('Business Baseline'!$K:$K,$B10,'Business Baseline'!$S:$S)</f>
        <v>75610.767349966205</v>
      </c>
      <c r="P10" s="110">
        <f>SUMIF('Business Baseline'!$K:$K,$B10,'Business Baseline'!$R:$R)</f>
        <v>336047.85488873872</v>
      </c>
      <c r="Q10" s="109">
        <f>SUMIF('Business Baseline'!$K:$K,$B10,'Business Baseline'!$S:$S)</f>
        <v>75610.767349966205</v>
      </c>
      <c r="R10" s="110">
        <f>SUMIF('Business Baseline'!$K:$K,$B10,'Business Baseline'!$R:$R)</f>
        <v>336047.85488873872</v>
      </c>
      <c r="S10" s="109">
        <f>SUMIF('Business Baseline'!$K:$K,$B10,'Business Baseline'!$S:$S)</f>
        <v>75610.767349966205</v>
      </c>
      <c r="T10" s="110">
        <f>SUMIF('Business Baseline'!$K:$K,$B10,'Business Baseline'!$R:$R)</f>
        <v>336047.85488873872</v>
      </c>
      <c r="U10" s="109">
        <f>SUMIF('Business Baseline'!$K:$K,$B10,'Business Baseline'!$S:$S)</f>
        <v>75610.767349966205</v>
      </c>
      <c r="V10" s="110">
        <f t="shared" si="4"/>
        <v>313965.22011452605</v>
      </c>
      <c r="W10" s="109">
        <f t="shared" si="5"/>
        <v>47094.783017178917</v>
      </c>
      <c r="X10" s="110">
        <f t="shared" si="4"/>
        <v>313965.22011452605</v>
      </c>
      <c r="Y10" s="109">
        <f t="shared" si="5"/>
        <v>47094.783017178917</v>
      </c>
      <c r="Z10" s="110">
        <f t="shared" si="4"/>
        <v>313965.22011452605</v>
      </c>
      <c r="AA10" s="109">
        <f t="shared" si="5"/>
        <v>47094.783017178917</v>
      </c>
      <c r="AB10" s="110">
        <f t="shared" si="4"/>
        <v>313965.22011452605</v>
      </c>
      <c r="AC10" s="109">
        <f t="shared" si="5"/>
        <v>47094.783017178917</v>
      </c>
      <c r="AD10" s="110">
        <f t="shared" si="4"/>
        <v>313965.22011452605</v>
      </c>
      <c r="AE10" s="109">
        <f t="shared" si="5"/>
        <v>47094.783017178917</v>
      </c>
      <c r="AF10" s="110">
        <f t="shared" si="4"/>
        <v>313965.22011452605</v>
      </c>
      <c r="AG10" s="109">
        <f t="shared" si="5"/>
        <v>47094.783017178917</v>
      </c>
      <c r="AH10" s="28">
        <f t="shared" si="6"/>
        <v>3900078.4500195873</v>
      </c>
      <c r="AI10" s="28">
        <f t="shared" si="7"/>
        <v>736233.3022028706</v>
      </c>
      <c r="AJ10" s="59">
        <f t="shared" si="0"/>
        <v>4636311.7522224579</v>
      </c>
      <c r="AK10" s="28">
        <f t="shared" si="8"/>
        <v>3566180.4284826391</v>
      </c>
      <c r="AL10" s="28">
        <f t="shared" si="9"/>
        <v>534927.06427239592</v>
      </c>
      <c r="AM10" s="59">
        <f t="shared" si="1"/>
        <v>4101107.4927550349</v>
      </c>
      <c r="AN10" s="28">
        <f t="shared" si="10"/>
        <v>3494856.8199129864</v>
      </c>
      <c r="AO10" s="28">
        <f t="shared" si="2"/>
        <v>524228.52298694797</v>
      </c>
      <c r="AP10" s="59">
        <f t="shared" si="3"/>
        <v>4019085.3428999344</v>
      </c>
    </row>
    <row r="11" spans="2:42" x14ac:dyDescent="0.35">
      <c r="B11" t="s">
        <v>11</v>
      </c>
      <c r="C11" s="46">
        <f>VLOOKUP($B11,'Business Baseline'!$B$14:$D$23,3,FALSE)</f>
        <v>2.8500000000000001E-2</v>
      </c>
      <c r="D11" s="100">
        <f>VLOOKUP($B11,'Business Baseline'!$B$14:$D$23,2,FALSE)</f>
        <v>17</v>
      </c>
      <c r="E11" s="98">
        <f>C11*'Business Baseline'!$C$3</f>
        <v>10464.141185385</v>
      </c>
      <c r="F11" s="136">
        <f>C11*'Business Baseline'!$C$4</f>
        <v>1569.6211778077502</v>
      </c>
      <c r="G11" s="99">
        <v>0.315</v>
      </c>
      <c r="H11" s="44">
        <f>'MSP 1 Pay Rates'!E19</f>
        <v>16.27</v>
      </c>
      <c r="I11" s="143"/>
      <c r="J11" s="110">
        <f>SUMIF('Business Baseline'!$K:$K,$B11,'Business Baseline'!$R:$R)</f>
        <v>244467.24578617708</v>
      </c>
      <c r="K11" s="109">
        <f>SUMIF('Business Baseline'!$K:$K,$B11,'Business Baseline'!$S:$S)</f>
        <v>55005.130301889854</v>
      </c>
      <c r="L11" s="110">
        <f>SUMIF('Business Baseline'!$K:$K,$B11,'Business Baseline'!$R:$R)</f>
        <v>244467.24578617708</v>
      </c>
      <c r="M11" s="109">
        <f>SUMIF('Business Baseline'!$K:$K,$B11,'Business Baseline'!$S:$S)</f>
        <v>55005.130301889854</v>
      </c>
      <c r="N11" s="110">
        <f>SUMIF('Business Baseline'!$K:$K,$B11,'Business Baseline'!$R:$R)</f>
        <v>244467.24578617708</v>
      </c>
      <c r="O11" s="109">
        <f>SUMIF('Business Baseline'!$K:$K,$B11,'Business Baseline'!$S:$S)</f>
        <v>55005.130301889854</v>
      </c>
      <c r="P11" s="110">
        <f>SUMIF('Business Baseline'!$K:$K,$B11,'Business Baseline'!$R:$R)</f>
        <v>244467.24578617708</v>
      </c>
      <c r="Q11" s="109">
        <f>SUMIF('Business Baseline'!$K:$K,$B11,'Business Baseline'!$S:$S)</f>
        <v>55005.130301889854</v>
      </c>
      <c r="R11" s="110">
        <f>SUMIF('Business Baseline'!$K:$K,$B11,'Business Baseline'!$R:$R)</f>
        <v>244467.24578617708</v>
      </c>
      <c r="S11" s="109">
        <f>SUMIF('Business Baseline'!$K:$K,$B11,'Business Baseline'!$S:$S)</f>
        <v>55005.130301889854</v>
      </c>
      <c r="T11" s="110">
        <f>SUMIF('Business Baseline'!$K:$K,$B11,'Business Baseline'!$R:$R)</f>
        <v>244467.24578617708</v>
      </c>
      <c r="U11" s="109">
        <f>SUMIF('Business Baseline'!$K:$K,$B11,'Business Baseline'!$S:$S)</f>
        <v>55005.130301889854</v>
      </c>
      <c r="V11" s="110">
        <f t="shared" si="4"/>
        <v>232670.24465791788</v>
      </c>
      <c r="W11" s="109">
        <f t="shared" si="5"/>
        <v>34900.536698687683</v>
      </c>
      <c r="X11" s="110">
        <f t="shared" si="4"/>
        <v>232670.24465791788</v>
      </c>
      <c r="Y11" s="109">
        <f t="shared" si="5"/>
        <v>34900.536698687683</v>
      </c>
      <c r="Z11" s="110">
        <f t="shared" si="4"/>
        <v>232670.24465791788</v>
      </c>
      <c r="AA11" s="109">
        <f t="shared" si="5"/>
        <v>34900.536698687683</v>
      </c>
      <c r="AB11" s="110">
        <f t="shared" si="4"/>
        <v>232670.24465791788</v>
      </c>
      <c r="AC11" s="109">
        <f t="shared" si="5"/>
        <v>34900.536698687683</v>
      </c>
      <c r="AD11" s="110">
        <f t="shared" si="4"/>
        <v>232670.24465791788</v>
      </c>
      <c r="AE11" s="109">
        <f t="shared" si="5"/>
        <v>34900.536698687683</v>
      </c>
      <c r="AF11" s="110">
        <f t="shared" si="4"/>
        <v>232670.24465791788</v>
      </c>
      <c r="AG11" s="109">
        <f t="shared" si="5"/>
        <v>34900.536698687683</v>
      </c>
      <c r="AH11" s="28">
        <f t="shared" si="6"/>
        <v>2862824.9426645697</v>
      </c>
      <c r="AI11" s="28">
        <f t="shared" si="7"/>
        <v>539434.00200346531</v>
      </c>
      <c r="AJ11" s="59">
        <f t="shared" si="0"/>
        <v>3402258.944668035</v>
      </c>
      <c r="AK11" s="28">
        <f t="shared" si="8"/>
        <v>2693666.0966766896</v>
      </c>
      <c r="AL11" s="28">
        <f t="shared" si="9"/>
        <v>404049.91450150346</v>
      </c>
      <c r="AM11" s="59">
        <f t="shared" si="1"/>
        <v>3097716.0111781931</v>
      </c>
      <c r="AN11" s="28">
        <f t="shared" si="10"/>
        <v>2639792.7747431556</v>
      </c>
      <c r="AO11" s="28">
        <f t="shared" si="2"/>
        <v>395968.91621147341</v>
      </c>
      <c r="AP11" s="59">
        <f t="shared" si="3"/>
        <v>3035761.6909546289</v>
      </c>
    </row>
    <row r="12" spans="2:42" x14ac:dyDescent="0.35">
      <c r="B12" t="s">
        <v>5</v>
      </c>
      <c r="C12" s="46">
        <f>VLOOKUP($B12,'Business Baseline'!$B$14:$D$23,3,FALSE)</f>
        <v>1.1900000000000001E-2</v>
      </c>
      <c r="D12" s="100">
        <f>VLOOKUP($B12,'Business Baseline'!$B$14:$D$23,2,FALSE)</f>
        <v>19</v>
      </c>
      <c r="E12" s="98">
        <f>C12*'Business Baseline'!$C$3</f>
        <v>4369.2378984590005</v>
      </c>
      <c r="F12" s="136">
        <f>C12*'Business Baseline'!$C$4</f>
        <v>655.38568476885007</v>
      </c>
      <c r="G12" s="99">
        <v>0.315</v>
      </c>
      <c r="H12" s="44">
        <f>'MSP 1 Pay Rates'!E7</f>
        <v>18.5</v>
      </c>
      <c r="I12" s="143"/>
      <c r="J12" s="110">
        <f>SUMIF('Business Baseline'!$K:$K,$B12,'Business Baseline'!$R:$R)</f>
        <v>114084.71470021595</v>
      </c>
      <c r="K12" s="109">
        <f>SUMIF('Business Baseline'!$K:$K,$B12,'Business Baseline'!$S:$S)</f>
        <v>25669.060807548598</v>
      </c>
      <c r="L12" s="110">
        <f>SUMIF('Business Baseline'!$K:$K,$B12,'Business Baseline'!$R:$R)</f>
        <v>114084.71470021595</v>
      </c>
      <c r="M12" s="109">
        <f>SUMIF('Business Baseline'!$K:$K,$B12,'Business Baseline'!$S:$S)</f>
        <v>25669.060807548598</v>
      </c>
      <c r="N12" s="110">
        <f>SUMIF('Business Baseline'!$K:$K,$B12,'Business Baseline'!$R:$R)</f>
        <v>114084.71470021595</v>
      </c>
      <c r="O12" s="109">
        <f>SUMIF('Business Baseline'!$K:$K,$B12,'Business Baseline'!$S:$S)</f>
        <v>25669.060807548598</v>
      </c>
      <c r="P12" s="110">
        <f>SUMIF('Business Baseline'!$K:$K,$B12,'Business Baseline'!$R:$R)</f>
        <v>114084.71470021595</v>
      </c>
      <c r="Q12" s="109">
        <f>SUMIF('Business Baseline'!$K:$K,$B12,'Business Baseline'!$S:$S)</f>
        <v>25669.060807548598</v>
      </c>
      <c r="R12" s="110">
        <f>SUMIF('Business Baseline'!$K:$K,$B12,'Business Baseline'!$R:$R)</f>
        <v>114084.71470021595</v>
      </c>
      <c r="S12" s="109">
        <f>SUMIF('Business Baseline'!$K:$K,$B12,'Business Baseline'!$S:$S)</f>
        <v>25669.060807548598</v>
      </c>
      <c r="T12" s="110">
        <f>SUMIF('Business Baseline'!$K:$K,$B12,'Business Baseline'!$R:$R)</f>
        <v>114084.71470021595</v>
      </c>
      <c r="U12" s="109">
        <f>SUMIF('Business Baseline'!$K:$K,$B12,'Business Baseline'!$S:$S)</f>
        <v>25669.060807548598</v>
      </c>
      <c r="V12" s="110">
        <f t="shared" si="4"/>
        <v>108806.3121532185</v>
      </c>
      <c r="W12" s="109">
        <f t="shared" si="5"/>
        <v>16320.946822982778</v>
      </c>
      <c r="X12" s="110">
        <f t="shared" si="4"/>
        <v>108806.3121532185</v>
      </c>
      <c r="Y12" s="109">
        <f t="shared" si="5"/>
        <v>16320.946822982778</v>
      </c>
      <c r="Z12" s="110">
        <f t="shared" si="4"/>
        <v>108806.3121532185</v>
      </c>
      <c r="AA12" s="109">
        <f t="shared" si="5"/>
        <v>16320.946822982778</v>
      </c>
      <c r="AB12" s="110">
        <f t="shared" si="4"/>
        <v>108806.3121532185</v>
      </c>
      <c r="AC12" s="109">
        <f t="shared" si="5"/>
        <v>16320.946822982778</v>
      </c>
      <c r="AD12" s="110">
        <f t="shared" si="4"/>
        <v>108806.3121532185</v>
      </c>
      <c r="AE12" s="109">
        <f t="shared" si="5"/>
        <v>16320.946822982778</v>
      </c>
      <c r="AF12" s="110">
        <f t="shared" si="4"/>
        <v>108806.3121532185</v>
      </c>
      <c r="AG12" s="109">
        <f t="shared" si="5"/>
        <v>16320.946822982778</v>
      </c>
      <c r="AH12" s="28">
        <f t="shared" si="6"/>
        <v>1337346.1611206068</v>
      </c>
      <c r="AI12" s="28">
        <f t="shared" si="7"/>
        <v>251940.04578318825</v>
      </c>
      <c r="AJ12" s="59">
        <f t="shared" si="0"/>
        <v>1589286.206903795</v>
      </c>
      <c r="AK12" s="28">
        <f t="shared" si="8"/>
        <v>1262325.5874124288</v>
      </c>
      <c r="AL12" s="28">
        <f t="shared" si="9"/>
        <v>189348.83811186432</v>
      </c>
      <c r="AM12" s="59">
        <f t="shared" si="1"/>
        <v>1451674.4255242932</v>
      </c>
      <c r="AN12" s="28">
        <f t="shared" si="10"/>
        <v>1237079.0756641801</v>
      </c>
      <c r="AO12" s="28">
        <f t="shared" si="2"/>
        <v>185561.86134962703</v>
      </c>
      <c r="AP12" s="59">
        <f t="shared" si="3"/>
        <v>1422640.9370138072</v>
      </c>
    </row>
    <row r="13" spans="2:42" x14ac:dyDescent="0.35">
      <c r="B13" t="s">
        <v>7</v>
      </c>
      <c r="C13" s="46">
        <f>VLOOKUP($B13,'Business Baseline'!$B$14:$D$23,3,FALSE)</f>
        <v>3.0000000000000001E-3</v>
      </c>
      <c r="D13" s="100">
        <f>VLOOKUP($B13,'Business Baseline'!$B$14:$D$23,2,FALSE)</f>
        <v>20</v>
      </c>
      <c r="E13" s="98">
        <f>C13*'Business Baseline'!$C$3</f>
        <v>1101.48854583</v>
      </c>
      <c r="F13" s="136">
        <f>C13*'Business Baseline'!$C$4</f>
        <v>165.2232818745</v>
      </c>
      <c r="G13" s="99">
        <v>0.315</v>
      </c>
      <c r="H13" s="44">
        <f>'MSP 1 Pay Rates'!E17</f>
        <v>18.510000000000002</v>
      </c>
      <c r="I13" s="143"/>
      <c r="J13" s="110">
        <f>SUMIF('Business Baseline'!$K:$K,$B13,'Business Baseline'!$R:$R)</f>
        <v>30274.581521507997</v>
      </c>
      <c r="K13" s="109">
        <f>SUMIF('Business Baseline'!$K:$K,$B13,'Business Baseline'!$S:$S)</f>
        <v>6811.7808423392999</v>
      </c>
      <c r="L13" s="110">
        <f>SUMIF('Business Baseline'!$K:$K,$B13,'Business Baseline'!$R:$R)</f>
        <v>30274.581521507997</v>
      </c>
      <c r="M13" s="109">
        <f>SUMIF('Business Baseline'!$K:$K,$B13,'Business Baseline'!$S:$S)</f>
        <v>6811.7808423392999</v>
      </c>
      <c r="N13" s="110">
        <f>SUMIF('Business Baseline'!$K:$K,$B13,'Business Baseline'!$R:$R)</f>
        <v>30274.581521507997</v>
      </c>
      <c r="O13" s="109">
        <f>SUMIF('Business Baseline'!$K:$K,$B13,'Business Baseline'!$S:$S)</f>
        <v>6811.7808423392999</v>
      </c>
      <c r="P13" s="110">
        <f>SUMIF('Business Baseline'!$K:$K,$B13,'Business Baseline'!$R:$R)</f>
        <v>30274.581521507997</v>
      </c>
      <c r="Q13" s="109">
        <f>SUMIF('Business Baseline'!$K:$K,$B13,'Business Baseline'!$S:$S)</f>
        <v>6811.7808423392999</v>
      </c>
      <c r="R13" s="110">
        <f>SUMIF('Business Baseline'!$K:$K,$B13,'Business Baseline'!$R:$R)</f>
        <v>30274.581521507997</v>
      </c>
      <c r="S13" s="109">
        <f>SUMIF('Business Baseline'!$K:$K,$B13,'Business Baseline'!$S:$S)</f>
        <v>6811.7808423392999</v>
      </c>
      <c r="T13" s="110">
        <f>SUMIF('Business Baseline'!$K:$K,$B13,'Business Baseline'!$R:$R)</f>
        <v>30274.581521507997</v>
      </c>
      <c r="U13" s="109">
        <f>SUMIF('Business Baseline'!$K:$K,$B13,'Business Baseline'!$S:$S)</f>
        <v>6811.7808423392999</v>
      </c>
      <c r="V13" s="110">
        <f t="shared" si="4"/>
        <v>28699.373557544994</v>
      </c>
      <c r="W13" s="109">
        <f t="shared" si="5"/>
        <v>4304.9060336317498</v>
      </c>
      <c r="X13" s="110">
        <f t="shared" si="4"/>
        <v>28699.373557544994</v>
      </c>
      <c r="Y13" s="109">
        <f t="shared" si="5"/>
        <v>4304.9060336317498</v>
      </c>
      <c r="Z13" s="110">
        <f t="shared" si="4"/>
        <v>28699.373557544994</v>
      </c>
      <c r="AA13" s="109">
        <f t="shared" si="5"/>
        <v>4304.9060336317498</v>
      </c>
      <c r="AB13" s="110">
        <f t="shared" si="4"/>
        <v>28699.373557544994</v>
      </c>
      <c r="AC13" s="109">
        <f t="shared" si="5"/>
        <v>4304.9060336317498</v>
      </c>
      <c r="AD13" s="110">
        <f t="shared" si="4"/>
        <v>28699.373557544994</v>
      </c>
      <c r="AE13" s="109">
        <f t="shared" si="5"/>
        <v>4304.9060336317498</v>
      </c>
      <c r="AF13" s="110">
        <f t="shared" si="4"/>
        <v>28699.373557544994</v>
      </c>
      <c r="AG13" s="109">
        <f t="shared" si="5"/>
        <v>4304.9060336317498</v>
      </c>
      <c r="AH13" s="28">
        <f t="shared" si="6"/>
        <v>353843.73047431797</v>
      </c>
      <c r="AI13" s="28">
        <f t="shared" si="7"/>
        <v>66700.121255826292</v>
      </c>
      <c r="AJ13" s="59">
        <f t="shared" si="0"/>
        <v>420543.85173014423</v>
      </c>
      <c r="AK13" s="28">
        <f t="shared" si="8"/>
        <v>330920.52490761795</v>
      </c>
      <c r="AL13" s="28">
        <f t="shared" si="9"/>
        <v>49638.078736142699</v>
      </c>
      <c r="AM13" s="59">
        <f t="shared" si="1"/>
        <v>380558.60364376067</v>
      </c>
      <c r="AN13" s="28">
        <f t="shared" si="10"/>
        <v>324302.11440946558</v>
      </c>
      <c r="AO13" s="28">
        <f t="shared" si="2"/>
        <v>48645.317161419844</v>
      </c>
      <c r="AP13" s="59">
        <f t="shared" si="3"/>
        <v>372947.43157088541</v>
      </c>
    </row>
    <row r="14" spans="2:42" x14ac:dyDescent="0.35">
      <c r="B14" t="s">
        <v>9</v>
      </c>
      <c r="C14" s="46">
        <f>VLOOKUP($B14,'Business Baseline'!$B$14:$D$23,3,FALSE)</f>
        <v>1.2999999999999999E-3</v>
      </c>
      <c r="D14" s="100">
        <f>VLOOKUP($B14,'Business Baseline'!$B$14:$D$23,2,FALSE)</f>
        <v>22</v>
      </c>
      <c r="E14" s="98">
        <f>C14*'Business Baseline'!$C$3</f>
        <v>477.31170319299997</v>
      </c>
      <c r="F14" s="136">
        <f>C14*'Business Baseline'!$C$4</f>
        <v>71.596755478950001</v>
      </c>
      <c r="G14" s="99">
        <v>0.315</v>
      </c>
      <c r="H14" s="44">
        <f>D14</f>
        <v>22</v>
      </c>
      <c r="I14" s="143"/>
      <c r="J14" s="146">
        <f>SUMIF('Business Baseline'!$K:$K,$B14,'Business Baseline'!$R:$R)</f>
        <v>14430.883858585479</v>
      </c>
      <c r="K14" s="147">
        <f>SUMIF('Business Baseline'!$K:$K,$B14,'Business Baseline'!$S:$S)</f>
        <v>3246.9488681817329</v>
      </c>
      <c r="L14" s="146">
        <f>SUMIF('Business Baseline'!$K:$K,$B14,'Business Baseline'!$R:$R)</f>
        <v>14430.883858585479</v>
      </c>
      <c r="M14" s="147">
        <f>SUMIF('Business Baseline'!$K:$K,$B14,'Business Baseline'!$S:$S)</f>
        <v>3246.9488681817329</v>
      </c>
      <c r="N14" s="146">
        <f>SUMIF('Business Baseline'!$K:$K,$B14,'Business Baseline'!$R:$R)</f>
        <v>14430.883858585479</v>
      </c>
      <c r="O14" s="147">
        <f>SUMIF('Business Baseline'!$K:$K,$B14,'Business Baseline'!$S:$S)</f>
        <v>3246.9488681817329</v>
      </c>
      <c r="P14" s="146">
        <f>SUMIF('Business Baseline'!$K:$K,$B14,'Business Baseline'!$R:$R)</f>
        <v>14430.883858585479</v>
      </c>
      <c r="Q14" s="147">
        <f>SUMIF('Business Baseline'!$K:$K,$B14,'Business Baseline'!$S:$S)</f>
        <v>3246.9488681817329</v>
      </c>
      <c r="R14" s="146">
        <f>SUMIF('Business Baseline'!$K:$K,$B14,'Business Baseline'!$R:$R)</f>
        <v>14430.883858585479</v>
      </c>
      <c r="S14" s="147">
        <f>SUMIF('Business Baseline'!$K:$K,$B14,'Business Baseline'!$S:$S)</f>
        <v>3246.9488681817329</v>
      </c>
      <c r="T14" s="146">
        <f>SUMIF('Business Baseline'!$K:$K,$B14,'Business Baseline'!$R:$R)</f>
        <v>14430.883858585479</v>
      </c>
      <c r="U14" s="147">
        <f>SUMIF('Business Baseline'!$K:$K,$B14,'Business Baseline'!$S:$S)</f>
        <v>3246.9488681817329</v>
      </c>
      <c r="V14" s="146">
        <f t="shared" si="4"/>
        <v>13808.627573373489</v>
      </c>
      <c r="W14" s="147">
        <f t="shared" si="5"/>
        <v>2071.2941360060236</v>
      </c>
      <c r="X14" s="146">
        <f t="shared" si="4"/>
        <v>13808.627573373489</v>
      </c>
      <c r="Y14" s="147">
        <f t="shared" si="5"/>
        <v>2071.2941360060236</v>
      </c>
      <c r="Z14" s="146">
        <f t="shared" si="4"/>
        <v>13808.627573373489</v>
      </c>
      <c r="AA14" s="147">
        <f t="shared" si="5"/>
        <v>2071.2941360060236</v>
      </c>
      <c r="AB14" s="146">
        <f t="shared" si="4"/>
        <v>13808.627573373489</v>
      </c>
      <c r="AC14" s="147">
        <f t="shared" si="5"/>
        <v>2071.2941360060236</v>
      </c>
      <c r="AD14" s="146">
        <f t="shared" si="4"/>
        <v>13808.627573373489</v>
      </c>
      <c r="AE14" s="147">
        <f t="shared" si="5"/>
        <v>2071.2941360060236</v>
      </c>
      <c r="AF14" s="146">
        <f t="shared" si="4"/>
        <v>13808.627573373489</v>
      </c>
      <c r="AG14" s="147">
        <f t="shared" si="5"/>
        <v>2071.2941360060236</v>
      </c>
      <c r="AH14" s="42">
        <f t="shared" si="6"/>
        <v>169437.06859175384</v>
      </c>
      <c r="AI14" s="42">
        <f t="shared" si="7"/>
        <v>31909.458025126547</v>
      </c>
      <c r="AJ14" s="60">
        <f t="shared" si="0"/>
        <v>201346.52661688038</v>
      </c>
      <c r="AK14" s="42">
        <f t="shared" si="8"/>
        <v>160732.42495406742</v>
      </c>
      <c r="AL14" s="42">
        <f t="shared" si="9"/>
        <v>24109.863743110116</v>
      </c>
      <c r="AM14" s="60">
        <f t="shared" si="1"/>
        <v>184842.28869717754</v>
      </c>
      <c r="AN14" s="42">
        <f t="shared" si="10"/>
        <v>157517.77645498607</v>
      </c>
      <c r="AO14" s="42">
        <f t="shared" si="2"/>
        <v>23627.666468247913</v>
      </c>
      <c r="AP14" s="60">
        <f t="shared" si="3"/>
        <v>181145.44292323399</v>
      </c>
    </row>
    <row r="15" spans="2:42" x14ac:dyDescent="0.35">
      <c r="B15" s="5" t="s">
        <v>13</v>
      </c>
      <c r="C15" s="5"/>
      <c r="E15" s="5"/>
      <c r="F15" s="29"/>
      <c r="G15" s="29"/>
      <c r="H15" s="176"/>
      <c r="I15" s="144"/>
      <c r="J15" s="148">
        <f>SUM(J5:J14)</f>
        <v>7766439.3129841844</v>
      </c>
      <c r="K15" s="149">
        <f t="shared" ref="K15:W15" si="11">SUM(K5:K14)</f>
        <v>1747448.8454214418</v>
      </c>
      <c r="L15" s="148">
        <f t="shared" si="11"/>
        <v>7766439.3129841844</v>
      </c>
      <c r="M15" s="149">
        <f t="shared" si="11"/>
        <v>1747448.8454214418</v>
      </c>
      <c r="N15" s="148">
        <f t="shared" si="11"/>
        <v>7766439.3129841844</v>
      </c>
      <c r="O15" s="149">
        <f t="shared" si="11"/>
        <v>1747448.8454214418</v>
      </c>
      <c r="P15" s="148">
        <f t="shared" si="11"/>
        <v>7766439.3129841844</v>
      </c>
      <c r="Q15" s="149">
        <f t="shared" si="11"/>
        <v>1747448.8454214418</v>
      </c>
      <c r="R15" s="148">
        <f t="shared" si="11"/>
        <v>7766439.3129841844</v>
      </c>
      <c r="S15" s="149">
        <f t="shared" si="11"/>
        <v>1747448.8454214418</v>
      </c>
      <c r="T15" s="148">
        <f t="shared" si="11"/>
        <v>7766439.3129841844</v>
      </c>
      <c r="U15" s="149">
        <f t="shared" si="11"/>
        <v>1747448.8454214418</v>
      </c>
      <c r="V15" s="148">
        <f t="shared" si="11"/>
        <v>7404507.8434512308</v>
      </c>
      <c r="W15" s="149">
        <f t="shared" si="11"/>
        <v>1110676.1765176842</v>
      </c>
      <c r="X15" s="148">
        <f t="shared" ref="X15" si="12">SUM(X5:X14)</f>
        <v>7404507.8434512308</v>
      </c>
      <c r="Y15" s="149">
        <f t="shared" ref="Y15" si="13">SUM(Y5:Y14)</f>
        <v>1110676.1765176842</v>
      </c>
      <c r="Z15" s="148">
        <f t="shared" ref="Z15" si="14">SUM(Z5:Z14)</f>
        <v>7404507.8434512308</v>
      </c>
      <c r="AA15" s="149">
        <f t="shared" ref="AA15" si="15">SUM(AA5:AA14)</f>
        <v>1110676.1765176842</v>
      </c>
      <c r="AB15" s="148">
        <f t="shared" ref="AB15" si="16">SUM(AB5:AB14)</f>
        <v>7404507.8434512308</v>
      </c>
      <c r="AC15" s="149">
        <f t="shared" ref="AC15" si="17">SUM(AC5:AC14)</f>
        <v>1110676.1765176842</v>
      </c>
      <c r="AD15" s="148">
        <f t="shared" ref="AD15" si="18">SUM(AD5:AD14)</f>
        <v>7404507.8434512308</v>
      </c>
      <c r="AE15" s="149">
        <f t="shared" ref="AE15" si="19">SUM(AE5:AE14)</f>
        <v>1110676.1765176842</v>
      </c>
      <c r="AF15" s="148">
        <f t="shared" ref="AF15" si="20">SUM(AF5:AF14)</f>
        <v>7404507.8434512308</v>
      </c>
      <c r="AG15" s="149">
        <f t="shared" ref="AG15" si="21">SUM(AG5:AG14)</f>
        <v>1110676.1765176842</v>
      </c>
      <c r="AH15" s="148">
        <f t="shared" ref="AH15:AP15" si="22">SUM(AH5:AH14)</f>
        <v>91025682.938612461</v>
      </c>
      <c r="AI15" s="148">
        <f t="shared" si="22"/>
        <v>17148750.131634761</v>
      </c>
      <c r="AJ15" s="150">
        <f t="shared" si="22"/>
        <v>108174433.07024723</v>
      </c>
      <c r="AK15" s="148">
        <f t="shared" si="22"/>
        <v>85873673.89299199</v>
      </c>
      <c r="AL15" s="148">
        <f t="shared" si="22"/>
        <v>12881051.083948795</v>
      </c>
      <c r="AM15" s="150">
        <f t="shared" si="22"/>
        <v>98754724.976940796</v>
      </c>
      <c r="AN15" s="148">
        <f t="shared" si="22"/>
        <v>84156200.415132135</v>
      </c>
      <c r="AO15" s="148">
        <f t="shared" si="22"/>
        <v>12623430.062269822</v>
      </c>
      <c r="AP15" s="150">
        <f t="shared" si="22"/>
        <v>96779630.477401942</v>
      </c>
    </row>
    <row r="16" spans="2:42" x14ac:dyDescent="0.35">
      <c r="H16" s="176"/>
    </row>
    <row r="17" spans="2:42" x14ac:dyDescent="0.35">
      <c r="H17" s="176"/>
      <c r="J17" s="5" t="s">
        <v>112</v>
      </c>
    </row>
    <row r="18" spans="2:42" x14ac:dyDescent="0.35">
      <c r="D18" s="39"/>
      <c r="E18" s="39"/>
      <c r="H18" s="176"/>
      <c r="J18" s="163" t="s">
        <v>115</v>
      </c>
      <c r="V18" s="163" t="s">
        <v>116</v>
      </c>
      <c r="AK18" s="163" t="s">
        <v>121</v>
      </c>
      <c r="AN18" s="163" t="s">
        <v>126</v>
      </c>
    </row>
    <row r="19" spans="2:42" x14ac:dyDescent="0.35">
      <c r="D19" s="39"/>
      <c r="E19" s="39"/>
      <c r="H19" s="176"/>
      <c r="J19" t="s">
        <v>111</v>
      </c>
      <c r="V19" t="s">
        <v>113</v>
      </c>
      <c r="AK19" t="s">
        <v>128</v>
      </c>
      <c r="AN19" t="s">
        <v>125</v>
      </c>
    </row>
    <row r="20" spans="2:42" x14ac:dyDescent="0.35">
      <c r="D20" s="39"/>
      <c r="E20" s="39"/>
      <c r="H20" s="176"/>
      <c r="V20" s="27">
        <f>1/8</f>
        <v>0.125</v>
      </c>
      <c r="W20" t="s">
        <v>119</v>
      </c>
      <c r="AK20" s="27">
        <v>0.25</v>
      </c>
      <c r="AL20" t="s">
        <v>119</v>
      </c>
      <c r="AN20" s="13">
        <v>0.02</v>
      </c>
      <c r="AO20" t="s">
        <v>122</v>
      </c>
    </row>
    <row r="21" spans="2:42" x14ac:dyDescent="0.35">
      <c r="D21" s="39"/>
      <c r="E21" s="39"/>
      <c r="H21" s="176"/>
      <c r="V21" s="15">
        <f>1-V20</f>
        <v>0.875</v>
      </c>
      <c r="W21" t="s">
        <v>118</v>
      </c>
      <c r="AK21" s="15">
        <f>1-AK20</f>
        <v>0.75</v>
      </c>
      <c r="AL21" t="s">
        <v>118</v>
      </c>
      <c r="AN21" t="s">
        <v>120</v>
      </c>
    </row>
    <row r="22" spans="2:42" x14ac:dyDescent="0.35">
      <c r="D22" s="39"/>
      <c r="E22" s="39"/>
      <c r="H22" s="176"/>
      <c r="V22" t="s">
        <v>120</v>
      </c>
      <c r="AK22" s="15">
        <v>0.03</v>
      </c>
      <c r="AL22" t="s">
        <v>122</v>
      </c>
    </row>
    <row r="23" spans="2:42" x14ac:dyDescent="0.35">
      <c r="D23" s="39"/>
      <c r="E23" s="39"/>
      <c r="H23" s="176"/>
      <c r="V23" t="s">
        <v>127</v>
      </c>
      <c r="AK23" t="s">
        <v>120</v>
      </c>
    </row>
    <row r="24" spans="2:42" x14ac:dyDescent="0.35">
      <c r="D24" s="39"/>
      <c r="E24" s="39"/>
      <c r="H24" s="176"/>
    </row>
    <row r="25" spans="2:42" x14ac:dyDescent="0.35">
      <c r="B25" s="94"/>
      <c r="C25" s="139" t="s">
        <v>147</v>
      </c>
      <c r="D25" s="139"/>
      <c r="E25" s="139"/>
      <c r="F25" s="140"/>
      <c r="G25" s="134" t="s">
        <v>144</v>
      </c>
      <c r="H25" s="135"/>
      <c r="I25" s="165"/>
      <c r="J25" s="96" t="s">
        <v>79</v>
      </c>
      <c r="K25" s="97"/>
      <c r="L25" s="96" t="s">
        <v>90</v>
      </c>
      <c r="M25" s="97"/>
      <c r="N25" s="96" t="s">
        <v>89</v>
      </c>
      <c r="O25" s="97"/>
      <c r="P25" s="96" t="s">
        <v>88</v>
      </c>
      <c r="Q25" s="97"/>
      <c r="R25" s="96" t="s">
        <v>87</v>
      </c>
      <c r="S25" s="97"/>
      <c r="T25" s="96" t="s">
        <v>86</v>
      </c>
      <c r="U25" s="97"/>
      <c r="V25" s="96" t="s">
        <v>85</v>
      </c>
      <c r="W25" s="97"/>
      <c r="X25" s="97" t="s">
        <v>84</v>
      </c>
      <c r="Y25" s="97"/>
      <c r="Z25" s="97" t="s">
        <v>83</v>
      </c>
      <c r="AA25" s="97"/>
      <c r="AB25" s="97" t="s">
        <v>82</v>
      </c>
      <c r="AC25" s="97"/>
      <c r="AD25" s="97" t="s">
        <v>81</v>
      </c>
      <c r="AE25" s="97"/>
      <c r="AF25" s="97" t="s">
        <v>80</v>
      </c>
      <c r="AG25" s="97"/>
      <c r="AH25" s="152" t="s">
        <v>114</v>
      </c>
      <c r="AI25" s="40"/>
      <c r="AJ25" s="61"/>
      <c r="AK25" s="152" t="s">
        <v>123</v>
      </c>
      <c r="AL25" s="40"/>
      <c r="AM25" s="61"/>
      <c r="AN25" s="152" t="s">
        <v>124</v>
      </c>
      <c r="AO25" s="40"/>
      <c r="AP25" s="61"/>
    </row>
    <row r="26" spans="2:42" x14ac:dyDescent="0.35">
      <c r="B26" s="5"/>
      <c r="C26" s="137" t="s">
        <v>53</v>
      </c>
      <c r="D26" s="137" t="s">
        <v>33</v>
      </c>
      <c r="E26" s="137" t="s">
        <v>99</v>
      </c>
      <c r="F26" s="138" t="s">
        <v>100</v>
      </c>
      <c r="G26" s="137" t="s">
        <v>1</v>
      </c>
      <c r="H26" s="137" t="s">
        <v>33</v>
      </c>
      <c r="I26" s="111"/>
      <c r="J26" s="111" t="s">
        <v>36</v>
      </c>
      <c r="K26" s="112" t="s">
        <v>26</v>
      </c>
      <c r="L26" s="111" t="s">
        <v>36</v>
      </c>
      <c r="M26" s="112" t="s">
        <v>26</v>
      </c>
      <c r="N26" s="111" t="s">
        <v>36</v>
      </c>
      <c r="O26" s="112" t="s">
        <v>26</v>
      </c>
      <c r="P26" s="111" t="s">
        <v>36</v>
      </c>
      <c r="Q26" s="112" t="s">
        <v>26</v>
      </c>
      <c r="R26" s="111" t="s">
        <v>36</v>
      </c>
      <c r="S26" s="112" t="s">
        <v>26</v>
      </c>
      <c r="T26" s="111" t="s">
        <v>36</v>
      </c>
      <c r="U26" s="112" t="s">
        <v>26</v>
      </c>
      <c r="V26" s="111" t="s">
        <v>36</v>
      </c>
      <c r="W26" s="111" t="s">
        <v>26</v>
      </c>
      <c r="X26" s="151" t="s">
        <v>36</v>
      </c>
      <c r="Y26" s="112" t="s">
        <v>26</v>
      </c>
      <c r="Z26" s="111" t="s">
        <v>36</v>
      </c>
      <c r="AA26" s="111" t="s">
        <v>26</v>
      </c>
      <c r="AB26" s="151" t="s">
        <v>36</v>
      </c>
      <c r="AC26" s="112" t="s">
        <v>26</v>
      </c>
      <c r="AD26" s="111" t="s">
        <v>36</v>
      </c>
      <c r="AE26" s="111" t="s">
        <v>26</v>
      </c>
      <c r="AF26" s="151" t="s">
        <v>36</v>
      </c>
      <c r="AG26" s="112" t="s">
        <v>26</v>
      </c>
      <c r="AH26" s="6" t="s">
        <v>49</v>
      </c>
      <c r="AI26" s="6" t="s">
        <v>50</v>
      </c>
      <c r="AJ26" s="58" t="s">
        <v>47</v>
      </c>
      <c r="AK26" s="6" t="s">
        <v>49</v>
      </c>
      <c r="AL26" s="6" t="s">
        <v>50</v>
      </c>
      <c r="AM26" s="58" t="s">
        <v>47</v>
      </c>
      <c r="AN26" s="6" t="s">
        <v>49</v>
      </c>
      <c r="AO26" s="6" t="s">
        <v>50</v>
      </c>
      <c r="AP26" s="58" t="s">
        <v>47</v>
      </c>
    </row>
    <row r="27" spans="2:42" x14ac:dyDescent="0.35">
      <c r="B27" t="s">
        <v>10</v>
      </c>
      <c r="C27" s="46">
        <f>VLOOKUP($B27,'Business Baseline'!$B$14:$D$23,3,FALSE)</f>
        <v>0.39500000000000002</v>
      </c>
      <c r="D27" s="100">
        <f>VLOOKUP($B27,'Business Baseline'!$B$14:$D$23,2,FALSE)</f>
        <v>15</v>
      </c>
      <c r="E27" s="98">
        <f>C27*'Business Baseline'!$C$3</f>
        <v>145029.32520095</v>
      </c>
      <c r="F27" s="136">
        <f>C27*'Business Baseline'!$C$4</f>
        <v>21754.398780142503</v>
      </c>
      <c r="G27" s="99">
        <v>0.36</v>
      </c>
      <c r="H27" s="44">
        <f t="shared" ref="H27:H36" si="23">D27</f>
        <v>15</v>
      </c>
      <c r="I27" s="3"/>
      <c r="J27" s="39">
        <f>SUMIF('Business Baseline'!$K:$K,$B27,'Business Baseline'!$R:$R)</f>
        <v>2989614.9252489139</v>
      </c>
      <c r="K27" s="166">
        <f>SUMIF('Business Baseline'!$K:$K,$B27,'Business Baseline'!$S:$S)</f>
        <v>672663.35818100593</v>
      </c>
      <c r="L27" s="39">
        <f>SUMIF('Business Baseline'!$K:$K,$B27,'Business Baseline'!$R:$R)</f>
        <v>2989614.9252489139</v>
      </c>
      <c r="M27" s="166">
        <f>SUMIF('Business Baseline'!$K:$K,$B27,'Business Baseline'!$S:$S)</f>
        <v>672663.35818100593</v>
      </c>
      <c r="N27" s="39">
        <f>SUMIF('Business Baseline'!$K:$K,$B27,'Business Baseline'!$R:$R)</f>
        <v>2989614.9252489139</v>
      </c>
      <c r="O27" s="166">
        <f>SUMIF('Business Baseline'!$K:$K,$B27,'Business Baseline'!$S:$S)</f>
        <v>672663.35818100593</v>
      </c>
      <c r="P27" s="39">
        <f>SUMIF('Business Baseline'!$K:$K,$B27,'Business Baseline'!$R:$R)</f>
        <v>2989614.9252489139</v>
      </c>
      <c r="Q27" s="166">
        <f>SUMIF('Business Baseline'!$K:$K,$B27,'Business Baseline'!$S:$S)</f>
        <v>672663.35818100593</v>
      </c>
      <c r="R27" s="39">
        <f>SUMIF('Business Baseline'!$K:$K,$B27,'Business Baseline'!$R:$R)</f>
        <v>2989614.9252489139</v>
      </c>
      <c r="S27" s="166">
        <f>SUMIF('Business Baseline'!$K:$K,$B27,'Business Baseline'!$S:$S)</f>
        <v>672663.35818100593</v>
      </c>
      <c r="T27" s="39">
        <f>SUMIF('Business Baseline'!$K:$K,$B27,'Business Baseline'!$R:$R)</f>
        <v>2989614.9252489139</v>
      </c>
      <c r="U27" s="166">
        <f>SUMIF('Business Baseline'!$K:$K,$B27,'Business Baseline'!$S:$S)</f>
        <v>672663.35818100593</v>
      </c>
      <c r="V27" s="39">
        <f>($V$42*($E27*$H27*(1+$G27)))+($V$43*($E27*$D27*(1+$G27)))</f>
        <v>2958598.2340993802</v>
      </c>
      <c r="W27" s="166">
        <f>($V$42*($F27*$H27*(1+$G27)))+($V$43*($F27*$D27*(1+$G27)))</f>
        <v>443789.73511490703</v>
      </c>
      <c r="X27" s="39">
        <f>($V$42*($E27*$H27*(1+$G27)))+($V$43*($E27*$D27*(1+$G27)))</f>
        <v>2958598.2340993802</v>
      </c>
      <c r="Y27" s="166">
        <f>($V$42*($F27*$H27*(1+$G27)))+($V$43*($F27*$D27*(1+$G27)))</f>
        <v>443789.73511490703</v>
      </c>
      <c r="Z27" s="39">
        <f>($V$42*($E27*$H27*(1+$G27)))+($V$43*($E27*$D27*(1+$G27)))</f>
        <v>2958598.2340993802</v>
      </c>
      <c r="AA27" s="166">
        <f>($V$42*($F27*$H27*(1+$G27)))+($V$43*($F27*$D27*(1+$G27)))</f>
        <v>443789.73511490703</v>
      </c>
      <c r="AB27" s="39">
        <f>($V$42*($E27*$H27*(1+$G27)))+($V$43*($E27*$D27*(1+$G27)))</f>
        <v>2958598.2340993802</v>
      </c>
      <c r="AC27" s="166">
        <f>($V$42*($F27*$H27*(1+$G27)))+($V$43*($F27*$D27*(1+$G27)))</f>
        <v>443789.73511490703</v>
      </c>
      <c r="AD27" s="39">
        <f>($V$42*($E27*$H27*(1+$G27)))+($V$43*($E27*$D27*(1+$G27)))</f>
        <v>2958598.2340993802</v>
      </c>
      <c r="AE27" s="166">
        <f>($V$42*($F27*$H27*(1+$G27)))+($V$43*($F27*$D27*(1+$G27)))</f>
        <v>443789.73511490703</v>
      </c>
      <c r="AF27" s="39">
        <f>($V$42*($E27*$H27*(1+$G27)))+($V$43*($E27*$D27*(1+$G27)))</f>
        <v>2958598.2340993802</v>
      </c>
      <c r="AG27" s="166">
        <f>($V$42*($F27*$H27*(1+$G27)))+($V$43*($F27*$D27*(1+$G27)))</f>
        <v>443789.73511490703</v>
      </c>
      <c r="AH27" s="28">
        <f t="shared" ref="AH27:AH36" si="24">SUM(J27,L27,N27,P27,R27,T27,V27,X27,Z27,AB27,AD27,AF27)</f>
        <v>35689278.956089765</v>
      </c>
      <c r="AI27" s="28">
        <f t="shared" ref="AI27:AI36" si="25">SUM(K27,M27,O27,Q27,S27,U27,W27,Y27,AA27,AC27,AE27,AG27)</f>
        <v>6698718.5597754773</v>
      </c>
      <c r="AJ27" s="59">
        <f t="shared" ref="AJ27:AJ36" si="26">SUM(AH27:AI27)</f>
        <v>42387997.515865244</v>
      </c>
      <c r="AK27" s="28">
        <f>AH27*(1-$AK$42)</f>
        <v>35332386.166528866</v>
      </c>
      <c r="AL27" s="28">
        <f>AI27*(1-$AK$42)</f>
        <v>6631731.3741777223</v>
      </c>
      <c r="AM27" s="59">
        <f t="shared" ref="AM27:AM36" si="27">SUM(AK27:AL27)</f>
        <v>41964117.54070659</v>
      </c>
      <c r="AN27" s="28">
        <f>AK27*(1-$AN$42)</f>
        <v>34979062.30486358</v>
      </c>
      <c r="AO27" s="28">
        <f>AL27*(1-$AN$42)</f>
        <v>6565414.0604359452</v>
      </c>
      <c r="AP27" s="59">
        <f t="shared" ref="AP27:AP36" si="28">SUM(AN27:AO27)</f>
        <v>41544476.365299523</v>
      </c>
    </row>
    <row r="28" spans="2:42" x14ac:dyDescent="0.35">
      <c r="B28" t="s">
        <v>4</v>
      </c>
      <c r="C28" s="46">
        <f>VLOOKUP($B28,'Business Baseline'!$B$14:$D$23,3,FALSE)</f>
        <v>0.34260000000000002</v>
      </c>
      <c r="D28" s="100">
        <f>VLOOKUP($B28,'Business Baseline'!$B$14:$D$23,2,FALSE)</f>
        <v>14.5</v>
      </c>
      <c r="E28" s="98">
        <f>C28*'Business Baseline'!$C$3</f>
        <v>125789.991933786</v>
      </c>
      <c r="F28" s="136">
        <f>C28*'Business Baseline'!$C$4</f>
        <v>18868.498790067901</v>
      </c>
      <c r="G28" s="99">
        <v>0.36</v>
      </c>
      <c r="H28" s="44">
        <f t="shared" si="23"/>
        <v>14.5</v>
      </c>
      <c r="I28" s="3"/>
      <c r="J28" s="39">
        <f>SUMIF('Business Baseline'!$K:$K,$B28,'Business Baseline'!$R:$R)</f>
        <v>2506583.9770732545</v>
      </c>
      <c r="K28" s="166">
        <f>SUMIF('Business Baseline'!$K:$K,$B28,'Business Baseline'!$S:$S)</f>
        <v>563981.39484148228</v>
      </c>
      <c r="L28" s="39">
        <f>SUMIF('Business Baseline'!$K:$K,$B28,'Business Baseline'!$R:$R)</f>
        <v>2506583.9770732545</v>
      </c>
      <c r="M28" s="166">
        <f>SUMIF('Business Baseline'!$K:$K,$B28,'Business Baseline'!$S:$S)</f>
        <v>563981.39484148228</v>
      </c>
      <c r="N28" s="39">
        <f>SUMIF('Business Baseline'!$K:$K,$B28,'Business Baseline'!$R:$R)</f>
        <v>2506583.9770732545</v>
      </c>
      <c r="O28" s="166">
        <f>SUMIF('Business Baseline'!$K:$K,$B28,'Business Baseline'!$S:$S)</f>
        <v>563981.39484148228</v>
      </c>
      <c r="P28" s="39">
        <f>SUMIF('Business Baseline'!$K:$K,$B28,'Business Baseline'!$R:$R)</f>
        <v>2506583.9770732545</v>
      </c>
      <c r="Q28" s="166">
        <f>SUMIF('Business Baseline'!$K:$K,$B28,'Business Baseline'!$S:$S)</f>
        <v>563981.39484148228</v>
      </c>
      <c r="R28" s="39">
        <f>SUMIF('Business Baseline'!$K:$K,$B28,'Business Baseline'!$R:$R)</f>
        <v>2506583.9770732545</v>
      </c>
      <c r="S28" s="166">
        <f>SUMIF('Business Baseline'!$K:$K,$B28,'Business Baseline'!$S:$S)</f>
        <v>563981.39484148228</v>
      </c>
      <c r="T28" s="39">
        <f>SUMIF('Business Baseline'!$K:$K,$B28,'Business Baseline'!$R:$R)</f>
        <v>2506583.9770732545</v>
      </c>
      <c r="U28" s="166">
        <f>SUMIF('Business Baseline'!$K:$K,$B28,'Business Baseline'!$S:$S)</f>
        <v>563981.39484148228</v>
      </c>
      <c r="V28" s="39">
        <f t="shared" ref="V28:AF36" si="29">($V$42*($E28*$H28*(1+$G28)))+($V$43*($E28*$D28*(1+$G28)))</f>
        <v>2480578.6409342596</v>
      </c>
      <c r="W28" s="166">
        <f t="shared" ref="W28:AG36" si="30">($V$42*($F28*$H28*(1+$G28)))+($V$43*($F28*$D28*(1+$G28)))</f>
        <v>372086.79614013899</v>
      </c>
      <c r="X28" s="39">
        <f t="shared" si="29"/>
        <v>2480578.6409342596</v>
      </c>
      <c r="Y28" s="166">
        <f t="shared" si="30"/>
        <v>372086.79614013899</v>
      </c>
      <c r="Z28" s="39">
        <f t="shared" si="29"/>
        <v>2480578.6409342596</v>
      </c>
      <c r="AA28" s="166">
        <f t="shared" si="30"/>
        <v>372086.79614013899</v>
      </c>
      <c r="AB28" s="39">
        <f t="shared" si="29"/>
        <v>2480578.6409342596</v>
      </c>
      <c r="AC28" s="166">
        <f t="shared" si="30"/>
        <v>372086.79614013899</v>
      </c>
      <c r="AD28" s="39">
        <f t="shared" si="29"/>
        <v>2480578.6409342596</v>
      </c>
      <c r="AE28" s="166">
        <f t="shared" si="30"/>
        <v>372086.79614013899</v>
      </c>
      <c r="AF28" s="39">
        <f t="shared" si="29"/>
        <v>2480578.6409342596</v>
      </c>
      <c r="AG28" s="166">
        <f t="shared" si="30"/>
        <v>372086.79614013899</v>
      </c>
      <c r="AH28" s="28">
        <f t="shared" si="24"/>
        <v>29922975.70804508</v>
      </c>
      <c r="AI28" s="28">
        <f t="shared" si="25"/>
        <v>5616409.1458897283</v>
      </c>
      <c r="AJ28" s="59">
        <f t="shared" si="26"/>
        <v>35539384.85393481</v>
      </c>
      <c r="AK28" s="28">
        <f t="shared" ref="AK28:AK36" si="31">AH28*(1-$AK$42)</f>
        <v>29623745.95096463</v>
      </c>
      <c r="AL28" s="28">
        <f t="shared" ref="AL28:AL36" si="32">AI28*(1-$AK$42)</f>
        <v>5560245.0544308312</v>
      </c>
      <c r="AM28" s="59">
        <f t="shared" si="27"/>
        <v>35183991.005395457</v>
      </c>
      <c r="AN28" s="28">
        <f t="shared" ref="AN28:AN36" si="33">AK28*(1-$AN$42)</f>
        <v>29327508.491454981</v>
      </c>
      <c r="AO28" s="28">
        <f t="shared" ref="AO28:AO36" si="34">AL28*(1-$AN$42)</f>
        <v>5504642.6038865233</v>
      </c>
      <c r="AP28" s="59">
        <f t="shared" si="28"/>
        <v>34832151.095341504</v>
      </c>
    </row>
    <row r="29" spans="2:42" x14ac:dyDescent="0.35">
      <c r="B29" t="s">
        <v>3</v>
      </c>
      <c r="C29" s="46">
        <f>VLOOKUP($B29,'Business Baseline'!$B$14:$D$23,3,FALSE)</f>
        <v>8.5000000000000006E-2</v>
      </c>
      <c r="D29" s="100">
        <f>VLOOKUP($B29,'Business Baseline'!$B$14:$D$23,2,FALSE)</f>
        <v>16</v>
      </c>
      <c r="E29" s="98">
        <f>C29*'Business Baseline'!$C$3</f>
        <v>31208.84213185</v>
      </c>
      <c r="F29" s="136">
        <f>C29*'Business Baseline'!$C$4</f>
        <v>4681.3263197775004</v>
      </c>
      <c r="G29" s="99">
        <v>0.36</v>
      </c>
      <c r="H29" s="44">
        <f t="shared" si="23"/>
        <v>16</v>
      </c>
      <c r="I29" s="3"/>
      <c r="J29" s="39">
        <f>SUMIF('Business Baseline'!$K:$K,$B29,'Business Baseline'!$R:$R)</f>
        <v>686223.84782084799</v>
      </c>
      <c r="K29" s="166">
        <f>SUMIF('Business Baseline'!$K:$K,$B29,'Business Baseline'!$S:$S)</f>
        <v>154400.36575969082</v>
      </c>
      <c r="L29" s="39">
        <f>SUMIF('Business Baseline'!$K:$K,$B29,'Business Baseline'!$R:$R)</f>
        <v>686223.84782084799</v>
      </c>
      <c r="M29" s="166">
        <f>SUMIF('Business Baseline'!$K:$K,$B29,'Business Baseline'!$S:$S)</f>
        <v>154400.36575969082</v>
      </c>
      <c r="N29" s="39">
        <f>SUMIF('Business Baseline'!$K:$K,$B29,'Business Baseline'!$R:$R)</f>
        <v>686223.84782084799</v>
      </c>
      <c r="O29" s="166">
        <f>SUMIF('Business Baseline'!$K:$K,$B29,'Business Baseline'!$S:$S)</f>
        <v>154400.36575969082</v>
      </c>
      <c r="P29" s="39">
        <f>SUMIF('Business Baseline'!$K:$K,$B29,'Business Baseline'!$R:$R)</f>
        <v>686223.84782084799</v>
      </c>
      <c r="Q29" s="166">
        <f>SUMIF('Business Baseline'!$K:$K,$B29,'Business Baseline'!$S:$S)</f>
        <v>154400.36575969082</v>
      </c>
      <c r="R29" s="39">
        <f>SUMIF('Business Baseline'!$K:$K,$B29,'Business Baseline'!$R:$R)</f>
        <v>686223.84782084799</v>
      </c>
      <c r="S29" s="166">
        <f>SUMIF('Business Baseline'!$K:$K,$B29,'Business Baseline'!$S:$S)</f>
        <v>154400.36575969082</v>
      </c>
      <c r="T29" s="39">
        <f>SUMIF('Business Baseline'!$K:$K,$B29,'Business Baseline'!$R:$R)</f>
        <v>686223.84782084799</v>
      </c>
      <c r="U29" s="166">
        <f>SUMIF('Business Baseline'!$K:$K,$B29,'Business Baseline'!$S:$S)</f>
        <v>154400.36575969082</v>
      </c>
      <c r="V29" s="39">
        <f t="shared" si="29"/>
        <v>679104.40478905593</v>
      </c>
      <c r="W29" s="166">
        <f t="shared" si="30"/>
        <v>101865.6607183584</v>
      </c>
      <c r="X29" s="39">
        <f t="shared" si="29"/>
        <v>679104.40478905593</v>
      </c>
      <c r="Y29" s="166">
        <f t="shared" si="30"/>
        <v>101865.6607183584</v>
      </c>
      <c r="Z29" s="39">
        <f t="shared" si="29"/>
        <v>679104.40478905593</v>
      </c>
      <c r="AA29" s="166">
        <f t="shared" si="30"/>
        <v>101865.6607183584</v>
      </c>
      <c r="AB29" s="39">
        <f t="shared" si="29"/>
        <v>679104.40478905593</v>
      </c>
      <c r="AC29" s="166">
        <f t="shared" si="30"/>
        <v>101865.6607183584</v>
      </c>
      <c r="AD29" s="39">
        <f t="shared" si="29"/>
        <v>679104.40478905593</v>
      </c>
      <c r="AE29" s="166">
        <f t="shared" si="30"/>
        <v>101865.6607183584</v>
      </c>
      <c r="AF29" s="39">
        <f t="shared" si="29"/>
        <v>679104.40478905593</v>
      </c>
      <c r="AG29" s="166">
        <f t="shared" si="30"/>
        <v>101865.6607183584</v>
      </c>
      <c r="AH29" s="28">
        <f t="shared" si="24"/>
        <v>8191969.5156594226</v>
      </c>
      <c r="AI29" s="28">
        <f t="shared" si="25"/>
        <v>1537596.1588682949</v>
      </c>
      <c r="AJ29" s="59">
        <f t="shared" si="26"/>
        <v>9729565.6745277178</v>
      </c>
      <c r="AK29" s="28">
        <f t="shared" si="31"/>
        <v>8110049.8205028279</v>
      </c>
      <c r="AL29" s="28">
        <f t="shared" si="32"/>
        <v>1522220.1972796118</v>
      </c>
      <c r="AM29" s="59">
        <f t="shared" si="27"/>
        <v>9632270.0177824404</v>
      </c>
      <c r="AN29" s="28">
        <f t="shared" si="33"/>
        <v>8028949.3222977994</v>
      </c>
      <c r="AO29" s="28">
        <f t="shared" si="34"/>
        <v>1506997.9953068157</v>
      </c>
      <c r="AP29" s="59">
        <f t="shared" si="28"/>
        <v>9535947.3176046144</v>
      </c>
    </row>
    <row r="30" spans="2:42" x14ac:dyDescent="0.35">
      <c r="B30" t="s">
        <v>29</v>
      </c>
      <c r="C30" s="46">
        <f>VLOOKUP($B30,'Business Baseline'!$B$14:$D$23,3,FALSE)</f>
        <v>4.8500000000000001E-2</v>
      </c>
      <c r="D30" s="100">
        <f>VLOOKUP($B30,'Business Baseline'!$B$14:$D$23,2,FALSE)</f>
        <v>17</v>
      </c>
      <c r="E30" s="98">
        <f>C30*'Business Baseline'!$C$3</f>
        <v>17807.398157585001</v>
      </c>
      <c r="F30" s="136">
        <f>C30*'Business Baseline'!$C$4</f>
        <v>2671.1097236377504</v>
      </c>
      <c r="G30" s="99">
        <v>0.36</v>
      </c>
      <c r="H30" s="44">
        <f t="shared" si="23"/>
        <v>17</v>
      </c>
      <c r="I30" s="3"/>
      <c r="J30" s="39">
        <f>SUMIF('Business Baseline'!$K:$K,$B30,'Business Baseline'!$R:$R)</f>
        <v>416023.20774138899</v>
      </c>
      <c r="K30" s="166">
        <f>SUMIF('Business Baseline'!$K:$K,$B30,'Business Baseline'!$S:$S)</f>
        <v>93605.221741812551</v>
      </c>
      <c r="L30" s="39">
        <f>SUMIF('Business Baseline'!$K:$K,$B30,'Business Baseline'!$R:$R)</f>
        <v>416023.20774138899</v>
      </c>
      <c r="M30" s="166">
        <f>SUMIF('Business Baseline'!$K:$K,$B30,'Business Baseline'!$S:$S)</f>
        <v>93605.221741812551</v>
      </c>
      <c r="N30" s="39">
        <f>SUMIF('Business Baseline'!$K:$K,$B30,'Business Baseline'!$R:$R)</f>
        <v>416023.20774138899</v>
      </c>
      <c r="O30" s="166">
        <f>SUMIF('Business Baseline'!$K:$K,$B30,'Business Baseline'!$S:$S)</f>
        <v>93605.221741812551</v>
      </c>
      <c r="P30" s="39">
        <f>SUMIF('Business Baseline'!$K:$K,$B30,'Business Baseline'!$R:$R)</f>
        <v>416023.20774138899</v>
      </c>
      <c r="Q30" s="166">
        <f>SUMIF('Business Baseline'!$K:$K,$B30,'Business Baseline'!$S:$S)</f>
        <v>93605.221741812551</v>
      </c>
      <c r="R30" s="39">
        <f>SUMIF('Business Baseline'!$K:$K,$B30,'Business Baseline'!$R:$R)</f>
        <v>416023.20774138899</v>
      </c>
      <c r="S30" s="166">
        <f>SUMIF('Business Baseline'!$K:$K,$B30,'Business Baseline'!$S:$S)</f>
        <v>93605.221741812551</v>
      </c>
      <c r="T30" s="39">
        <f>SUMIF('Business Baseline'!$K:$K,$B30,'Business Baseline'!$R:$R)</f>
        <v>416023.20774138899</v>
      </c>
      <c r="U30" s="166">
        <f>SUMIF('Business Baseline'!$K:$K,$B30,'Business Baseline'!$S:$S)</f>
        <v>93605.221741812551</v>
      </c>
      <c r="V30" s="39">
        <f t="shared" si="29"/>
        <v>411707.04540336522</v>
      </c>
      <c r="W30" s="166">
        <f t="shared" si="30"/>
        <v>61756.056810504786</v>
      </c>
      <c r="X30" s="39">
        <f t="shared" si="29"/>
        <v>411707.04540336522</v>
      </c>
      <c r="Y30" s="166">
        <f t="shared" si="30"/>
        <v>61756.056810504786</v>
      </c>
      <c r="Z30" s="39">
        <f t="shared" si="29"/>
        <v>411707.04540336522</v>
      </c>
      <c r="AA30" s="166">
        <f t="shared" si="30"/>
        <v>61756.056810504786</v>
      </c>
      <c r="AB30" s="39">
        <f t="shared" si="29"/>
        <v>411707.04540336522</v>
      </c>
      <c r="AC30" s="166">
        <f t="shared" si="30"/>
        <v>61756.056810504786</v>
      </c>
      <c r="AD30" s="39">
        <f t="shared" si="29"/>
        <v>411707.04540336522</v>
      </c>
      <c r="AE30" s="166">
        <f t="shared" si="30"/>
        <v>61756.056810504786</v>
      </c>
      <c r="AF30" s="39">
        <f t="shared" si="29"/>
        <v>411707.04540336522</v>
      </c>
      <c r="AG30" s="166">
        <f t="shared" si="30"/>
        <v>61756.056810504786</v>
      </c>
      <c r="AH30" s="28">
        <f t="shared" si="24"/>
        <v>4966381.5188685246</v>
      </c>
      <c r="AI30" s="28">
        <f t="shared" si="25"/>
        <v>932167.67131390388</v>
      </c>
      <c r="AJ30" s="59">
        <f t="shared" si="26"/>
        <v>5898549.1901824288</v>
      </c>
      <c r="AK30" s="28">
        <f t="shared" si="31"/>
        <v>4916717.7036798391</v>
      </c>
      <c r="AL30" s="28">
        <f t="shared" si="32"/>
        <v>922845.99460076483</v>
      </c>
      <c r="AM30" s="59">
        <f t="shared" si="27"/>
        <v>5839563.6982806036</v>
      </c>
      <c r="AN30" s="28">
        <f t="shared" si="33"/>
        <v>4867550.5266430406</v>
      </c>
      <c r="AO30" s="28">
        <f t="shared" si="34"/>
        <v>913617.53465475712</v>
      </c>
      <c r="AP30" s="59">
        <f t="shared" si="28"/>
        <v>5781168.0612977976</v>
      </c>
    </row>
    <row r="31" spans="2:42" x14ac:dyDescent="0.35">
      <c r="B31" t="s">
        <v>6</v>
      </c>
      <c r="C31" s="46">
        <f>VLOOKUP($B31,'Business Baseline'!$B$14:$D$23,3,FALSE)</f>
        <v>4.7199999999999999E-2</v>
      </c>
      <c r="D31" s="100">
        <f>VLOOKUP($B31,'Business Baseline'!$B$14:$D$23,2,FALSE)</f>
        <v>18</v>
      </c>
      <c r="E31" s="98">
        <f>C31*'Business Baseline'!$C$3</f>
        <v>17330.086454392</v>
      </c>
      <c r="F31" s="136">
        <f>C31*'Business Baseline'!$C$4</f>
        <v>2599.5129681588</v>
      </c>
      <c r="G31" s="99">
        <v>0.36</v>
      </c>
      <c r="H31" s="44">
        <f t="shared" si="23"/>
        <v>18</v>
      </c>
      <c r="I31" s="3"/>
      <c r="J31" s="39">
        <f>SUMIF('Business Baseline'!$K:$K,$B31,'Business Baseline'!$R:$R)</f>
        <v>428688.07434455329</v>
      </c>
      <c r="K31" s="166">
        <f>SUMIF('Business Baseline'!$K:$K,$B31,'Business Baseline'!$S:$S)</f>
        <v>96454.816727524507</v>
      </c>
      <c r="L31" s="39">
        <f>SUMIF('Business Baseline'!$K:$K,$B31,'Business Baseline'!$R:$R)</f>
        <v>428688.07434455329</v>
      </c>
      <c r="M31" s="166">
        <f>SUMIF('Business Baseline'!$K:$K,$B31,'Business Baseline'!$S:$S)</f>
        <v>96454.816727524507</v>
      </c>
      <c r="N31" s="39">
        <f>SUMIF('Business Baseline'!$K:$K,$B31,'Business Baseline'!$R:$R)</f>
        <v>428688.07434455329</v>
      </c>
      <c r="O31" s="166">
        <f>SUMIF('Business Baseline'!$K:$K,$B31,'Business Baseline'!$S:$S)</f>
        <v>96454.816727524507</v>
      </c>
      <c r="P31" s="39">
        <f>SUMIF('Business Baseline'!$K:$K,$B31,'Business Baseline'!$R:$R)</f>
        <v>428688.07434455329</v>
      </c>
      <c r="Q31" s="166">
        <f>SUMIF('Business Baseline'!$K:$K,$B31,'Business Baseline'!$S:$S)</f>
        <v>96454.816727524507</v>
      </c>
      <c r="R31" s="39">
        <f>SUMIF('Business Baseline'!$K:$K,$B31,'Business Baseline'!$R:$R)</f>
        <v>428688.07434455329</v>
      </c>
      <c r="S31" s="166">
        <f>SUMIF('Business Baseline'!$K:$K,$B31,'Business Baseline'!$S:$S)</f>
        <v>96454.816727524507</v>
      </c>
      <c r="T31" s="39">
        <f>SUMIF('Business Baseline'!$K:$K,$B31,'Business Baseline'!$R:$R)</f>
        <v>428688.07434455329</v>
      </c>
      <c r="U31" s="166">
        <f>SUMIF('Business Baseline'!$K:$K,$B31,'Business Baseline'!$S:$S)</f>
        <v>96454.816727524507</v>
      </c>
      <c r="V31" s="39">
        <f t="shared" si="29"/>
        <v>424240.51640351611</v>
      </c>
      <c r="W31" s="166">
        <f t="shared" si="30"/>
        <v>63636.07746052742</v>
      </c>
      <c r="X31" s="39">
        <f t="shared" si="29"/>
        <v>424240.51640351611</v>
      </c>
      <c r="Y31" s="166">
        <f t="shared" si="30"/>
        <v>63636.07746052742</v>
      </c>
      <c r="Z31" s="39">
        <f t="shared" si="29"/>
        <v>424240.51640351611</v>
      </c>
      <c r="AA31" s="166">
        <f t="shared" si="30"/>
        <v>63636.07746052742</v>
      </c>
      <c r="AB31" s="39">
        <f t="shared" si="29"/>
        <v>424240.51640351611</v>
      </c>
      <c r="AC31" s="166">
        <f t="shared" si="30"/>
        <v>63636.07746052742</v>
      </c>
      <c r="AD31" s="39">
        <f t="shared" si="29"/>
        <v>424240.51640351611</v>
      </c>
      <c r="AE31" s="166">
        <f t="shared" si="30"/>
        <v>63636.07746052742</v>
      </c>
      <c r="AF31" s="39">
        <f t="shared" si="29"/>
        <v>424240.51640351611</v>
      </c>
      <c r="AG31" s="166">
        <f t="shared" si="30"/>
        <v>63636.07746052742</v>
      </c>
      <c r="AH31" s="28">
        <f t="shared" si="24"/>
        <v>5117571.5444884161</v>
      </c>
      <c r="AI31" s="28">
        <f t="shared" si="25"/>
        <v>960545.36512831156</v>
      </c>
      <c r="AJ31" s="59">
        <f t="shared" si="26"/>
        <v>6078116.9096167274</v>
      </c>
      <c r="AK31" s="28">
        <f t="shared" si="31"/>
        <v>5066395.8290435318</v>
      </c>
      <c r="AL31" s="28">
        <f t="shared" si="32"/>
        <v>950939.91147702839</v>
      </c>
      <c r="AM31" s="59">
        <f t="shared" si="27"/>
        <v>6017335.7405205602</v>
      </c>
      <c r="AN31" s="28">
        <f t="shared" si="33"/>
        <v>5015731.8707530964</v>
      </c>
      <c r="AO31" s="28">
        <f t="shared" si="34"/>
        <v>941430.51236225804</v>
      </c>
      <c r="AP31" s="59">
        <f t="shared" si="28"/>
        <v>5957162.3831153549</v>
      </c>
    </row>
    <row r="32" spans="2:42" x14ac:dyDescent="0.35">
      <c r="B32" t="s">
        <v>30</v>
      </c>
      <c r="C32" s="46">
        <f>VLOOKUP($B32,'Business Baseline'!$B$14:$D$23,3,FALSE)</f>
        <v>3.6999999999999998E-2</v>
      </c>
      <c r="D32" s="100">
        <f>VLOOKUP($B32,'Business Baseline'!$B$14:$D$23,2,FALSE)</f>
        <v>18</v>
      </c>
      <c r="E32" s="98">
        <f>C32*'Business Baseline'!$C$3</f>
        <v>13585.025398569998</v>
      </c>
      <c r="F32" s="136">
        <f>C32*'Business Baseline'!$C$4</f>
        <v>2037.7538097855002</v>
      </c>
      <c r="G32" s="99">
        <v>0.36</v>
      </c>
      <c r="H32" s="44">
        <f t="shared" si="23"/>
        <v>18</v>
      </c>
      <c r="I32" s="3"/>
      <c r="J32" s="39">
        <f>SUMIF('Business Baseline'!$K:$K,$B32,'Business Baseline'!$R:$R)</f>
        <v>336047.85488873872</v>
      </c>
      <c r="K32" s="166">
        <f>SUMIF('Business Baseline'!$K:$K,$B32,'Business Baseline'!$S:$S)</f>
        <v>75610.767349966205</v>
      </c>
      <c r="L32" s="39">
        <f>SUMIF('Business Baseline'!$K:$K,$B32,'Business Baseline'!$R:$R)</f>
        <v>336047.85488873872</v>
      </c>
      <c r="M32" s="166">
        <f>SUMIF('Business Baseline'!$K:$K,$B32,'Business Baseline'!$S:$S)</f>
        <v>75610.767349966205</v>
      </c>
      <c r="N32" s="39">
        <f>SUMIF('Business Baseline'!$K:$K,$B32,'Business Baseline'!$R:$R)</f>
        <v>336047.85488873872</v>
      </c>
      <c r="O32" s="166">
        <f>SUMIF('Business Baseline'!$K:$K,$B32,'Business Baseline'!$S:$S)</f>
        <v>75610.767349966205</v>
      </c>
      <c r="P32" s="39">
        <f>SUMIF('Business Baseline'!$K:$K,$B32,'Business Baseline'!$R:$R)</f>
        <v>336047.85488873872</v>
      </c>
      <c r="Q32" s="166">
        <f>SUMIF('Business Baseline'!$K:$K,$B32,'Business Baseline'!$S:$S)</f>
        <v>75610.767349966205</v>
      </c>
      <c r="R32" s="39">
        <f>SUMIF('Business Baseline'!$K:$K,$B32,'Business Baseline'!$R:$R)</f>
        <v>336047.85488873872</v>
      </c>
      <c r="S32" s="166">
        <f>SUMIF('Business Baseline'!$K:$K,$B32,'Business Baseline'!$S:$S)</f>
        <v>75610.767349966205</v>
      </c>
      <c r="T32" s="39">
        <f>SUMIF('Business Baseline'!$K:$K,$B32,'Business Baseline'!$R:$R)</f>
        <v>336047.85488873872</v>
      </c>
      <c r="U32" s="166">
        <f>SUMIF('Business Baseline'!$K:$K,$B32,'Business Baseline'!$S:$S)</f>
        <v>75610.767349966205</v>
      </c>
      <c r="V32" s="39">
        <f t="shared" si="29"/>
        <v>332561.42175699351</v>
      </c>
      <c r="W32" s="166">
        <f t="shared" si="30"/>
        <v>49884.213263549042</v>
      </c>
      <c r="X32" s="39">
        <f t="shared" si="29"/>
        <v>332561.42175699351</v>
      </c>
      <c r="Y32" s="166">
        <f t="shared" si="30"/>
        <v>49884.213263549042</v>
      </c>
      <c r="Z32" s="39">
        <f t="shared" si="29"/>
        <v>332561.42175699351</v>
      </c>
      <c r="AA32" s="166">
        <f t="shared" si="30"/>
        <v>49884.213263549042</v>
      </c>
      <c r="AB32" s="39">
        <f t="shared" si="29"/>
        <v>332561.42175699351</v>
      </c>
      <c r="AC32" s="166">
        <f t="shared" si="30"/>
        <v>49884.213263549042</v>
      </c>
      <c r="AD32" s="39">
        <f t="shared" si="29"/>
        <v>332561.42175699351</v>
      </c>
      <c r="AE32" s="166">
        <f t="shared" si="30"/>
        <v>49884.213263549042</v>
      </c>
      <c r="AF32" s="39">
        <f t="shared" si="29"/>
        <v>332561.42175699351</v>
      </c>
      <c r="AG32" s="166">
        <f t="shared" si="30"/>
        <v>49884.213263549042</v>
      </c>
      <c r="AH32" s="28">
        <f t="shared" si="24"/>
        <v>4011655.6598743931</v>
      </c>
      <c r="AI32" s="28">
        <f t="shared" si="25"/>
        <v>752969.88368109148</v>
      </c>
      <c r="AJ32" s="59">
        <f t="shared" si="26"/>
        <v>4764625.5435554851</v>
      </c>
      <c r="AK32" s="28">
        <f t="shared" si="31"/>
        <v>3971539.1032756492</v>
      </c>
      <c r="AL32" s="28">
        <f t="shared" si="32"/>
        <v>745440.18484428059</v>
      </c>
      <c r="AM32" s="59">
        <f t="shared" si="27"/>
        <v>4716979.2881199298</v>
      </c>
      <c r="AN32" s="28">
        <f t="shared" si="33"/>
        <v>3931823.7122428929</v>
      </c>
      <c r="AO32" s="28">
        <f t="shared" si="34"/>
        <v>737985.78299583774</v>
      </c>
      <c r="AP32" s="59">
        <f t="shared" si="28"/>
        <v>4669809.4952387307</v>
      </c>
    </row>
    <row r="33" spans="2:42" x14ac:dyDescent="0.35">
      <c r="B33" t="s">
        <v>11</v>
      </c>
      <c r="C33" s="46">
        <f>VLOOKUP($B33,'Business Baseline'!$B$14:$D$23,3,FALSE)</f>
        <v>2.8500000000000001E-2</v>
      </c>
      <c r="D33" s="100">
        <f>VLOOKUP($B33,'Business Baseline'!$B$14:$D$23,2,FALSE)</f>
        <v>17</v>
      </c>
      <c r="E33" s="98">
        <f>C33*'Business Baseline'!$C$3</f>
        <v>10464.141185385</v>
      </c>
      <c r="F33" s="136">
        <f>C33*'Business Baseline'!$C$4</f>
        <v>1569.6211778077502</v>
      </c>
      <c r="G33" s="99">
        <v>0.36</v>
      </c>
      <c r="H33" s="44">
        <f t="shared" si="23"/>
        <v>17</v>
      </c>
      <c r="I33" s="3"/>
      <c r="J33" s="39">
        <f>SUMIF('Business Baseline'!$K:$K,$B33,'Business Baseline'!$R:$R)</f>
        <v>244467.24578617708</v>
      </c>
      <c r="K33" s="166">
        <f>SUMIF('Business Baseline'!$K:$K,$B33,'Business Baseline'!$S:$S)</f>
        <v>55005.130301889854</v>
      </c>
      <c r="L33" s="39">
        <f>SUMIF('Business Baseline'!$K:$K,$B33,'Business Baseline'!$R:$R)</f>
        <v>244467.24578617708</v>
      </c>
      <c r="M33" s="166">
        <f>SUMIF('Business Baseline'!$K:$K,$B33,'Business Baseline'!$S:$S)</f>
        <v>55005.130301889854</v>
      </c>
      <c r="N33" s="39">
        <f>SUMIF('Business Baseline'!$K:$K,$B33,'Business Baseline'!$R:$R)</f>
        <v>244467.24578617708</v>
      </c>
      <c r="O33" s="166">
        <f>SUMIF('Business Baseline'!$K:$K,$B33,'Business Baseline'!$S:$S)</f>
        <v>55005.130301889854</v>
      </c>
      <c r="P33" s="39">
        <f>SUMIF('Business Baseline'!$K:$K,$B33,'Business Baseline'!$R:$R)</f>
        <v>244467.24578617708</v>
      </c>
      <c r="Q33" s="166">
        <f>SUMIF('Business Baseline'!$K:$K,$B33,'Business Baseline'!$S:$S)</f>
        <v>55005.130301889854</v>
      </c>
      <c r="R33" s="39">
        <f>SUMIF('Business Baseline'!$K:$K,$B33,'Business Baseline'!$R:$R)</f>
        <v>244467.24578617708</v>
      </c>
      <c r="S33" s="166">
        <f>SUMIF('Business Baseline'!$K:$K,$B33,'Business Baseline'!$S:$S)</f>
        <v>55005.130301889854</v>
      </c>
      <c r="T33" s="39">
        <f>SUMIF('Business Baseline'!$K:$K,$B33,'Business Baseline'!$R:$R)</f>
        <v>244467.24578617708</v>
      </c>
      <c r="U33" s="166">
        <f>SUMIF('Business Baseline'!$K:$K,$B33,'Business Baseline'!$S:$S)</f>
        <v>55005.130301889854</v>
      </c>
      <c r="V33" s="39">
        <f t="shared" si="29"/>
        <v>241930.94420610118</v>
      </c>
      <c r="W33" s="166">
        <f t="shared" si="30"/>
        <v>36289.641630915183</v>
      </c>
      <c r="X33" s="39">
        <f t="shared" si="29"/>
        <v>241930.94420610118</v>
      </c>
      <c r="Y33" s="166">
        <f t="shared" si="30"/>
        <v>36289.641630915183</v>
      </c>
      <c r="Z33" s="39">
        <f t="shared" si="29"/>
        <v>241930.94420610118</v>
      </c>
      <c r="AA33" s="166">
        <f t="shared" si="30"/>
        <v>36289.641630915183</v>
      </c>
      <c r="AB33" s="39">
        <f t="shared" si="29"/>
        <v>241930.94420610118</v>
      </c>
      <c r="AC33" s="166">
        <f t="shared" si="30"/>
        <v>36289.641630915183</v>
      </c>
      <c r="AD33" s="39">
        <f t="shared" si="29"/>
        <v>241930.94420610118</v>
      </c>
      <c r="AE33" s="166">
        <f t="shared" si="30"/>
        <v>36289.641630915183</v>
      </c>
      <c r="AF33" s="39">
        <f t="shared" si="29"/>
        <v>241930.94420610118</v>
      </c>
      <c r="AG33" s="166">
        <f t="shared" si="30"/>
        <v>36289.641630915183</v>
      </c>
      <c r="AH33" s="28">
        <f t="shared" si="24"/>
        <v>2918389.1399536701</v>
      </c>
      <c r="AI33" s="28">
        <f t="shared" si="25"/>
        <v>547768.63159683021</v>
      </c>
      <c r="AJ33" s="59">
        <f t="shared" si="26"/>
        <v>3466157.7715505003</v>
      </c>
      <c r="AK33" s="28">
        <f t="shared" si="31"/>
        <v>2889205.2485541333</v>
      </c>
      <c r="AL33" s="28">
        <f t="shared" si="32"/>
        <v>542290.94528086192</v>
      </c>
      <c r="AM33" s="59">
        <f t="shared" si="27"/>
        <v>3431496.1938349954</v>
      </c>
      <c r="AN33" s="28">
        <f t="shared" si="33"/>
        <v>2860313.1960685919</v>
      </c>
      <c r="AO33" s="28">
        <f t="shared" si="34"/>
        <v>536868.03582805325</v>
      </c>
      <c r="AP33" s="59">
        <f t="shared" si="28"/>
        <v>3397181.2318966454</v>
      </c>
    </row>
    <row r="34" spans="2:42" x14ac:dyDescent="0.35">
      <c r="B34" t="s">
        <v>5</v>
      </c>
      <c r="C34" s="46">
        <f>VLOOKUP($B34,'Business Baseline'!$B$14:$D$23,3,FALSE)</f>
        <v>1.1900000000000001E-2</v>
      </c>
      <c r="D34" s="100">
        <f>VLOOKUP($B34,'Business Baseline'!$B$14:$D$23,2,FALSE)</f>
        <v>19</v>
      </c>
      <c r="E34" s="98">
        <f>C34*'Business Baseline'!$C$3</f>
        <v>4369.2378984590005</v>
      </c>
      <c r="F34" s="136">
        <f>C34*'Business Baseline'!$C$4</f>
        <v>655.38568476885007</v>
      </c>
      <c r="G34" s="99">
        <v>0.36</v>
      </c>
      <c r="H34" s="44">
        <f t="shared" si="23"/>
        <v>19</v>
      </c>
      <c r="I34" s="3"/>
      <c r="J34" s="39">
        <f>SUMIF('Business Baseline'!$K:$K,$B34,'Business Baseline'!$R:$R)</f>
        <v>114084.71470021595</v>
      </c>
      <c r="K34" s="166">
        <f>SUMIF('Business Baseline'!$K:$K,$B34,'Business Baseline'!$S:$S)</f>
        <v>25669.060807548598</v>
      </c>
      <c r="L34" s="39">
        <f>SUMIF('Business Baseline'!$K:$K,$B34,'Business Baseline'!$R:$R)</f>
        <v>114084.71470021595</v>
      </c>
      <c r="M34" s="166">
        <f>SUMIF('Business Baseline'!$K:$K,$B34,'Business Baseline'!$S:$S)</f>
        <v>25669.060807548598</v>
      </c>
      <c r="N34" s="39">
        <f>SUMIF('Business Baseline'!$K:$K,$B34,'Business Baseline'!$R:$R)</f>
        <v>114084.71470021595</v>
      </c>
      <c r="O34" s="166">
        <f>SUMIF('Business Baseline'!$K:$K,$B34,'Business Baseline'!$S:$S)</f>
        <v>25669.060807548598</v>
      </c>
      <c r="P34" s="39">
        <f>SUMIF('Business Baseline'!$K:$K,$B34,'Business Baseline'!$R:$R)</f>
        <v>114084.71470021595</v>
      </c>
      <c r="Q34" s="166">
        <f>SUMIF('Business Baseline'!$K:$K,$B34,'Business Baseline'!$S:$S)</f>
        <v>25669.060807548598</v>
      </c>
      <c r="R34" s="39">
        <f>SUMIF('Business Baseline'!$K:$K,$B34,'Business Baseline'!$R:$R)</f>
        <v>114084.71470021595</v>
      </c>
      <c r="S34" s="166">
        <f>SUMIF('Business Baseline'!$K:$K,$B34,'Business Baseline'!$S:$S)</f>
        <v>25669.060807548598</v>
      </c>
      <c r="T34" s="39">
        <f>SUMIF('Business Baseline'!$K:$K,$B34,'Business Baseline'!$R:$R)</f>
        <v>114084.71470021595</v>
      </c>
      <c r="U34" s="166">
        <f>SUMIF('Business Baseline'!$K:$K,$B34,'Business Baseline'!$S:$S)</f>
        <v>25669.060807548598</v>
      </c>
      <c r="V34" s="39">
        <f t="shared" si="29"/>
        <v>112901.10729618055</v>
      </c>
      <c r="W34" s="166">
        <f t="shared" si="30"/>
        <v>16935.166094427084</v>
      </c>
      <c r="X34" s="39">
        <f t="shared" si="29"/>
        <v>112901.10729618055</v>
      </c>
      <c r="Y34" s="166">
        <f t="shared" si="30"/>
        <v>16935.166094427084</v>
      </c>
      <c r="Z34" s="39">
        <f t="shared" si="29"/>
        <v>112901.10729618055</v>
      </c>
      <c r="AA34" s="166">
        <f t="shared" si="30"/>
        <v>16935.166094427084</v>
      </c>
      <c r="AB34" s="39">
        <f t="shared" si="29"/>
        <v>112901.10729618055</v>
      </c>
      <c r="AC34" s="166">
        <f t="shared" si="30"/>
        <v>16935.166094427084</v>
      </c>
      <c r="AD34" s="39">
        <f t="shared" si="29"/>
        <v>112901.10729618055</v>
      </c>
      <c r="AE34" s="166">
        <f t="shared" si="30"/>
        <v>16935.166094427084</v>
      </c>
      <c r="AF34" s="39">
        <f t="shared" si="29"/>
        <v>112901.10729618055</v>
      </c>
      <c r="AG34" s="166">
        <f t="shared" si="30"/>
        <v>16935.166094427084</v>
      </c>
      <c r="AH34" s="28">
        <f t="shared" si="24"/>
        <v>1361914.9319783787</v>
      </c>
      <c r="AI34" s="28">
        <f t="shared" si="25"/>
        <v>255625.3614118541</v>
      </c>
      <c r="AJ34" s="59">
        <f t="shared" si="26"/>
        <v>1617540.2933902328</v>
      </c>
      <c r="AK34" s="28">
        <f t="shared" si="31"/>
        <v>1348295.7826585949</v>
      </c>
      <c r="AL34" s="28">
        <f t="shared" si="32"/>
        <v>253069.10779773555</v>
      </c>
      <c r="AM34" s="59">
        <f t="shared" si="27"/>
        <v>1601364.8904563305</v>
      </c>
      <c r="AN34" s="28">
        <f t="shared" si="33"/>
        <v>1334812.8248320089</v>
      </c>
      <c r="AO34" s="28">
        <f t="shared" si="34"/>
        <v>250538.41671975818</v>
      </c>
      <c r="AP34" s="59">
        <f t="shared" si="28"/>
        <v>1585351.2415517671</v>
      </c>
    </row>
    <row r="35" spans="2:42" x14ac:dyDescent="0.35">
      <c r="B35" t="s">
        <v>7</v>
      </c>
      <c r="C35" s="46">
        <f>VLOOKUP($B35,'Business Baseline'!$B$14:$D$23,3,FALSE)</f>
        <v>3.0000000000000001E-3</v>
      </c>
      <c r="D35" s="100">
        <f>VLOOKUP($B35,'Business Baseline'!$B$14:$D$23,2,FALSE)</f>
        <v>20</v>
      </c>
      <c r="E35" s="98">
        <f>C35*'Business Baseline'!$C$3</f>
        <v>1101.48854583</v>
      </c>
      <c r="F35" s="136">
        <f>C35*'Business Baseline'!$C$4</f>
        <v>165.2232818745</v>
      </c>
      <c r="G35" s="99">
        <v>0.36</v>
      </c>
      <c r="H35" s="44">
        <f t="shared" si="23"/>
        <v>20</v>
      </c>
      <c r="I35" s="3"/>
      <c r="J35" s="39">
        <f>SUMIF('Business Baseline'!$K:$K,$B35,'Business Baseline'!$R:$R)</f>
        <v>30274.581521507997</v>
      </c>
      <c r="K35" s="166">
        <f>SUMIF('Business Baseline'!$K:$K,$B35,'Business Baseline'!$S:$S)</f>
        <v>6811.7808423392999</v>
      </c>
      <c r="L35" s="39">
        <f>SUMIF('Business Baseline'!$K:$K,$B35,'Business Baseline'!$R:$R)</f>
        <v>30274.581521507997</v>
      </c>
      <c r="M35" s="166">
        <f>SUMIF('Business Baseline'!$K:$K,$B35,'Business Baseline'!$S:$S)</f>
        <v>6811.7808423392999</v>
      </c>
      <c r="N35" s="39">
        <f>SUMIF('Business Baseline'!$K:$K,$B35,'Business Baseline'!$R:$R)</f>
        <v>30274.581521507997</v>
      </c>
      <c r="O35" s="166">
        <f>SUMIF('Business Baseline'!$K:$K,$B35,'Business Baseline'!$S:$S)</f>
        <v>6811.7808423392999</v>
      </c>
      <c r="P35" s="39">
        <f>SUMIF('Business Baseline'!$K:$K,$B35,'Business Baseline'!$R:$R)</f>
        <v>30274.581521507997</v>
      </c>
      <c r="Q35" s="166">
        <f>SUMIF('Business Baseline'!$K:$K,$B35,'Business Baseline'!$S:$S)</f>
        <v>6811.7808423392999</v>
      </c>
      <c r="R35" s="39">
        <f>SUMIF('Business Baseline'!$K:$K,$B35,'Business Baseline'!$R:$R)</f>
        <v>30274.581521507997</v>
      </c>
      <c r="S35" s="166">
        <f>SUMIF('Business Baseline'!$K:$K,$B35,'Business Baseline'!$S:$S)</f>
        <v>6811.7808423392999</v>
      </c>
      <c r="T35" s="39">
        <f>SUMIF('Business Baseline'!$K:$K,$B35,'Business Baseline'!$R:$R)</f>
        <v>30274.581521507997</v>
      </c>
      <c r="U35" s="166">
        <f>SUMIF('Business Baseline'!$K:$K,$B35,'Business Baseline'!$S:$S)</f>
        <v>6811.7808423392999</v>
      </c>
      <c r="V35" s="39">
        <f t="shared" si="29"/>
        <v>29960.488446575997</v>
      </c>
      <c r="W35" s="166">
        <f t="shared" si="30"/>
        <v>4494.0732669864001</v>
      </c>
      <c r="X35" s="39">
        <f t="shared" si="29"/>
        <v>29960.488446575997</v>
      </c>
      <c r="Y35" s="166">
        <f t="shared" si="30"/>
        <v>4494.0732669864001</v>
      </c>
      <c r="Z35" s="39">
        <f t="shared" si="29"/>
        <v>29960.488446575997</v>
      </c>
      <c r="AA35" s="166">
        <f t="shared" si="30"/>
        <v>4494.0732669864001</v>
      </c>
      <c r="AB35" s="39">
        <f t="shared" si="29"/>
        <v>29960.488446575997</v>
      </c>
      <c r="AC35" s="166">
        <f t="shared" si="30"/>
        <v>4494.0732669864001</v>
      </c>
      <c r="AD35" s="39">
        <f t="shared" si="29"/>
        <v>29960.488446575997</v>
      </c>
      <c r="AE35" s="166">
        <f t="shared" si="30"/>
        <v>4494.0732669864001</v>
      </c>
      <c r="AF35" s="39">
        <f t="shared" si="29"/>
        <v>29960.488446575997</v>
      </c>
      <c r="AG35" s="166">
        <f t="shared" si="30"/>
        <v>4494.0732669864001</v>
      </c>
      <c r="AH35" s="28">
        <f t="shared" si="24"/>
        <v>361410.419808504</v>
      </c>
      <c r="AI35" s="28">
        <f t="shared" si="25"/>
        <v>67835.124655954205</v>
      </c>
      <c r="AJ35" s="59">
        <f t="shared" si="26"/>
        <v>429245.54446445819</v>
      </c>
      <c r="AK35" s="28">
        <f t="shared" si="31"/>
        <v>357796.31561041897</v>
      </c>
      <c r="AL35" s="28">
        <f t="shared" si="32"/>
        <v>67156.773409394664</v>
      </c>
      <c r="AM35" s="59">
        <f t="shared" si="27"/>
        <v>424953.08901981363</v>
      </c>
      <c r="AN35" s="28">
        <f t="shared" si="33"/>
        <v>354218.35245431477</v>
      </c>
      <c r="AO35" s="28">
        <f t="shared" si="34"/>
        <v>66485.20567530072</v>
      </c>
      <c r="AP35" s="59">
        <f t="shared" si="28"/>
        <v>420703.5581296155</v>
      </c>
    </row>
    <row r="36" spans="2:42" x14ac:dyDescent="0.35">
      <c r="B36" t="s">
        <v>9</v>
      </c>
      <c r="C36" s="46">
        <f>VLOOKUP($B36,'Business Baseline'!$B$14:$D$23,3,FALSE)</f>
        <v>1.2999999999999999E-3</v>
      </c>
      <c r="D36" s="100">
        <f>VLOOKUP($B36,'Business Baseline'!$B$14:$D$23,2,FALSE)</f>
        <v>22</v>
      </c>
      <c r="E36" s="98">
        <f>C36*'Business Baseline'!$C$3</f>
        <v>477.31170319299997</v>
      </c>
      <c r="F36" s="136">
        <f>C36*'Business Baseline'!$C$4</f>
        <v>71.596755478950001</v>
      </c>
      <c r="G36" s="99">
        <v>0.36</v>
      </c>
      <c r="H36" s="44">
        <f t="shared" si="23"/>
        <v>22</v>
      </c>
      <c r="I36" s="3"/>
      <c r="J36" s="49">
        <f>SUMIF('Business Baseline'!$K:$K,$B36,'Business Baseline'!$R:$R)</f>
        <v>14430.883858585479</v>
      </c>
      <c r="K36" s="167">
        <f>SUMIF('Business Baseline'!$K:$K,$B36,'Business Baseline'!$S:$S)</f>
        <v>3246.9488681817329</v>
      </c>
      <c r="L36" s="49">
        <f>SUMIF('Business Baseline'!$K:$K,$B36,'Business Baseline'!$R:$R)</f>
        <v>14430.883858585479</v>
      </c>
      <c r="M36" s="167">
        <f>SUMIF('Business Baseline'!$K:$K,$B36,'Business Baseline'!$S:$S)</f>
        <v>3246.9488681817329</v>
      </c>
      <c r="N36" s="49">
        <f>SUMIF('Business Baseline'!$K:$K,$B36,'Business Baseline'!$R:$R)</f>
        <v>14430.883858585479</v>
      </c>
      <c r="O36" s="167">
        <f>SUMIF('Business Baseline'!$K:$K,$B36,'Business Baseline'!$S:$S)</f>
        <v>3246.9488681817329</v>
      </c>
      <c r="P36" s="49">
        <f>SUMIF('Business Baseline'!$K:$K,$B36,'Business Baseline'!$R:$R)</f>
        <v>14430.883858585479</v>
      </c>
      <c r="Q36" s="167">
        <f>SUMIF('Business Baseline'!$K:$K,$B36,'Business Baseline'!$S:$S)</f>
        <v>3246.9488681817329</v>
      </c>
      <c r="R36" s="49">
        <f>SUMIF('Business Baseline'!$K:$K,$B36,'Business Baseline'!$R:$R)</f>
        <v>14430.883858585479</v>
      </c>
      <c r="S36" s="167">
        <f>SUMIF('Business Baseline'!$K:$K,$B36,'Business Baseline'!$S:$S)</f>
        <v>3246.9488681817329</v>
      </c>
      <c r="T36" s="49">
        <f>SUMIF('Business Baseline'!$K:$K,$B36,'Business Baseline'!$R:$R)</f>
        <v>14430.883858585479</v>
      </c>
      <c r="U36" s="167">
        <f>SUMIF('Business Baseline'!$K:$K,$B36,'Business Baseline'!$S:$S)</f>
        <v>3246.9488681817329</v>
      </c>
      <c r="V36" s="39">
        <f t="shared" si="29"/>
        <v>14281.166159534558</v>
      </c>
      <c r="W36" s="166">
        <f t="shared" si="30"/>
        <v>2142.1749239301839</v>
      </c>
      <c r="X36" s="39">
        <f t="shared" si="29"/>
        <v>14281.166159534558</v>
      </c>
      <c r="Y36" s="166">
        <f t="shared" si="30"/>
        <v>2142.1749239301839</v>
      </c>
      <c r="Z36" s="39">
        <f t="shared" si="29"/>
        <v>14281.166159534558</v>
      </c>
      <c r="AA36" s="166">
        <f t="shared" si="30"/>
        <v>2142.1749239301839</v>
      </c>
      <c r="AB36" s="39">
        <f t="shared" si="29"/>
        <v>14281.166159534558</v>
      </c>
      <c r="AC36" s="166">
        <f t="shared" si="30"/>
        <v>2142.1749239301839</v>
      </c>
      <c r="AD36" s="39">
        <f t="shared" si="29"/>
        <v>14281.166159534558</v>
      </c>
      <c r="AE36" s="166">
        <f t="shared" si="30"/>
        <v>2142.1749239301839</v>
      </c>
      <c r="AF36" s="39">
        <f t="shared" si="29"/>
        <v>14281.166159534558</v>
      </c>
      <c r="AG36" s="166">
        <f t="shared" si="30"/>
        <v>2142.1749239301839</v>
      </c>
      <c r="AH36" s="42">
        <f t="shared" si="24"/>
        <v>172272.30010872026</v>
      </c>
      <c r="AI36" s="42">
        <f t="shared" si="25"/>
        <v>32334.742752671493</v>
      </c>
      <c r="AJ36" s="60">
        <f t="shared" si="26"/>
        <v>204607.04286139176</v>
      </c>
      <c r="AK36" s="28">
        <f t="shared" si="31"/>
        <v>170549.57710763306</v>
      </c>
      <c r="AL36" s="28">
        <f t="shared" si="32"/>
        <v>32011.395325144778</v>
      </c>
      <c r="AM36" s="60">
        <f t="shared" si="27"/>
        <v>202560.97243277784</v>
      </c>
      <c r="AN36" s="28">
        <f t="shared" si="33"/>
        <v>168844.08133655673</v>
      </c>
      <c r="AO36" s="28">
        <f t="shared" si="34"/>
        <v>31691.281371893328</v>
      </c>
      <c r="AP36" s="60">
        <f t="shared" si="28"/>
        <v>200535.36270845006</v>
      </c>
    </row>
    <row r="37" spans="2:42" x14ac:dyDescent="0.35">
      <c r="B37" s="5" t="s">
        <v>13</v>
      </c>
      <c r="C37" s="5"/>
      <c r="E37" s="5"/>
      <c r="F37" s="29"/>
      <c r="G37" s="29"/>
      <c r="H37" s="29"/>
      <c r="I37" s="29"/>
      <c r="J37" s="148">
        <f t="shared" ref="J37:AP37" si="35">SUM(J27:J36)</f>
        <v>7766439.3129841844</v>
      </c>
      <c r="K37" s="149">
        <f t="shared" si="35"/>
        <v>1747448.8454214418</v>
      </c>
      <c r="L37" s="148">
        <f t="shared" si="35"/>
        <v>7766439.3129841844</v>
      </c>
      <c r="M37" s="149">
        <f t="shared" si="35"/>
        <v>1747448.8454214418</v>
      </c>
      <c r="N37" s="148">
        <f t="shared" si="35"/>
        <v>7766439.3129841844</v>
      </c>
      <c r="O37" s="149">
        <f t="shared" si="35"/>
        <v>1747448.8454214418</v>
      </c>
      <c r="P37" s="148">
        <f t="shared" si="35"/>
        <v>7766439.3129841844</v>
      </c>
      <c r="Q37" s="149">
        <f t="shared" si="35"/>
        <v>1747448.8454214418</v>
      </c>
      <c r="R37" s="148">
        <f t="shared" si="35"/>
        <v>7766439.3129841844</v>
      </c>
      <c r="S37" s="149">
        <f t="shared" si="35"/>
        <v>1747448.8454214418</v>
      </c>
      <c r="T37" s="148">
        <f t="shared" si="35"/>
        <v>7766439.3129841844</v>
      </c>
      <c r="U37" s="149">
        <f t="shared" si="35"/>
        <v>1747448.8454214418</v>
      </c>
      <c r="V37" s="148">
        <f t="shared" si="35"/>
        <v>7685863.9694949621</v>
      </c>
      <c r="W37" s="149">
        <f t="shared" si="35"/>
        <v>1152879.5954242442</v>
      </c>
      <c r="X37" s="148">
        <f t="shared" si="35"/>
        <v>7685863.9694949621</v>
      </c>
      <c r="Y37" s="149">
        <f t="shared" si="35"/>
        <v>1152879.5954242442</v>
      </c>
      <c r="Z37" s="148">
        <f t="shared" si="35"/>
        <v>7685863.9694949621</v>
      </c>
      <c r="AA37" s="149">
        <f t="shared" si="35"/>
        <v>1152879.5954242442</v>
      </c>
      <c r="AB37" s="148">
        <f t="shared" si="35"/>
        <v>7685863.9694949621</v>
      </c>
      <c r="AC37" s="149">
        <f t="shared" si="35"/>
        <v>1152879.5954242442</v>
      </c>
      <c r="AD37" s="148">
        <f t="shared" si="35"/>
        <v>7685863.9694949621</v>
      </c>
      <c r="AE37" s="149">
        <f t="shared" si="35"/>
        <v>1152879.5954242442</v>
      </c>
      <c r="AF37" s="148">
        <f t="shared" si="35"/>
        <v>7685863.9694949621</v>
      </c>
      <c r="AG37" s="149">
        <f t="shared" si="35"/>
        <v>1152879.5954242442</v>
      </c>
      <c r="AH37" s="148">
        <f t="shared" si="35"/>
        <v>92713819.694874868</v>
      </c>
      <c r="AI37" s="148">
        <f t="shared" si="35"/>
        <v>17401970.645074118</v>
      </c>
      <c r="AJ37" s="150">
        <f t="shared" si="35"/>
        <v>110115790.339949</v>
      </c>
      <c r="AK37" s="148">
        <f t="shared" si="35"/>
        <v>91786681.497926146</v>
      </c>
      <c r="AL37" s="148">
        <f t="shared" si="35"/>
        <v>17227950.93862338</v>
      </c>
      <c r="AM37" s="150">
        <f t="shared" si="35"/>
        <v>109014632.4365495</v>
      </c>
      <c r="AN37" s="148">
        <f t="shared" si="35"/>
        <v>90868814.682946846</v>
      </c>
      <c r="AO37" s="148">
        <f t="shared" si="35"/>
        <v>17055671.429237142</v>
      </c>
      <c r="AP37" s="150">
        <f t="shared" si="35"/>
        <v>107924486.112184</v>
      </c>
    </row>
    <row r="38" spans="2:42" x14ac:dyDescent="0.35">
      <c r="AK38" s="3"/>
    </row>
    <row r="39" spans="2:42" x14ac:dyDescent="0.35">
      <c r="J39" s="5" t="s">
        <v>112</v>
      </c>
    </row>
    <row r="40" spans="2:42" x14ac:dyDescent="0.35">
      <c r="D40" s="39"/>
      <c r="E40" s="39"/>
      <c r="J40" s="163" t="s">
        <v>115</v>
      </c>
      <c r="V40" s="163" t="s">
        <v>116</v>
      </c>
      <c r="AK40" s="163" t="s">
        <v>121</v>
      </c>
      <c r="AN40" s="163" t="s">
        <v>126</v>
      </c>
    </row>
    <row r="41" spans="2:42" x14ac:dyDescent="0.35">
      <c r="D41" s="39"/>
      <c r="E41" s="39"/>
      <c r="J41" t="s">
        <v>111</v>
      </c>
      <c r="V41" t="s">
        <v>113</v>
      </c>
      <c r="AK41" t="s">
        <v>129</v>
      </c>
      <c r="AN41" t="s">
        <v>125</v>
      </c>
    </row>
    <row r="42" spans="2:42" x14ac:dyDescent="0.35">
      <c r="D42" s="39"/>
      <c r="E42" s="39"/>
      <c r="V42" s="27">
        <v>0</v>
      </c>
      <c r="W42" t="s">
        <v>119</v>
      </c>
      <c r="AK42" s="15">
        <v>0.01</v>
      </c>
      <c r="AL42" t="s">
        <v>122</v>
      </c>
      <c r="AN42" s="13">
        <v>0.01</v>
      </c>
      <c r="AO42" t="s">
        <v>122</v>
      </c>
    </row>
    <row r="43" spans="2:42" x14ac:dyDescent="0.35">
      <c r="D43" s="39"/>
      <c r="E43" s="39"/>
      <c r="V43" s="15">
        <f>1-V42</f>
        <v>1</v>
      </c>
      <c r="W43" t="s">
        <v>118</v>
      </c>
      <c r="AK43" t="s">
        <v>120</v>
      </c>
      <c r="AN43" t="s">
        <v>120</v>
      </c>
    </row>
    <row r="44" spans="2:42" x14ac:dyDescent="0.35">
      <c r="D44" s="39"/>
      <c r="E44" s="39"/>
      <c r="V44" t="s">
        <v>120</v>
      </c>
    </row>
    <row r="45" spans="2:42" x14ac:dyDescent="0.35">
      <c r="D45" s="39"/>
      <c r="E45" s="39"/>
      <c r="V45" t="s">
        <v>127</v>
      </c>
    </row>
  </sheetData>
  <pageMargins left="0.7" right="0.7" top="0.75" bottom="0.75" header="0.3" footer="0.3"/>
  <pageSetup orientation="portrait" r:id="rId1"/>
  <ignoredErrors>
    <ignoredError sqref="K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BEBE-2CBB-429E-9780-EB45140632EC}">
  <sheetPr>
    <tabColor theme="0" tint="-0.14999847407452621"/>
  </sheetPr>
  <dimension ref="B2:E20"/>
  <sheetViews>
    <sheetView showGridLines="0" workbookViewId="0">
      <selection activeCell="B2" sqref="B2"/>
    </sheetView>
  </sheetViews>
  <sheetFormatPr defaultRowHeight="14.5" x14ac:dyDescent="0.35"/>
  <cols>
    <col min="1" max="1" width="1.81640625" customWidth="1"/>
    <col min="2" max="2" width="26" bestFit="1" customWidth="1"/>
    <col min="4" max="4" width="8.81640625" bestFit="1" customWidth="1"/>
    <col min="5" max="5" width="10.6328125" customWidth="1"/>
  </cols>
  <sheetData>
    <row r="2" spans="2:5" x14ac:dyDescent="0.35">
      <c r="B2" t="s">
        <v>148</v>
      </c>
    </row>
    <row r="4" spans="2:5" ht="43.5" x14ac:dyDescent="0.35">
      <c r="B4" s="156" t="s">
        <v>102</v>
      </c>
      <c r="C4" s="157" t="s">
        <v>103</v>
      </c>
      <c r="D4" s="157" t="s">
        <v>104</v>
      </c>
      <c r="E4" s="164" t="s">
        <v>117</v>
      </c>
    </row>
    <row r="5" spans="2:5" x14ac:dyDescent="0.35">
      <c r="B5" s="122" t="s">
        <v>101</v>
      </c>
      <c r="C5" s="123" t="s">
        <v>109</v>
      </c>
      <c r="D5" s="81">
        <v>13.4</v>
      </c>
      <c r="E5" s="160">
        <f>MAX(D5:D6)</f>
        <v>14.08</v>
      </c>
    </row>
    <row r="6" spans="2:5" x14ac:dyDescent="0.35">
      <c r="B6" s="158" t="s">
        <v>101</v>
      </c>
      <c r="C6" s="154" t="s">
        <v>110</v>
      </c>
      <c r="D6" s="155">
        <v>14.08</v>
      </c>
      <c r="E6" s="161">
        <f>E5</f>
        <v>14.08</v>
      </c>
    </row>
    <row r="7" spans="2:5" x14ac:dyDescent="0.35">
      <c r="B7" s="122" t="s">
        <v>5</v>
      </c>
      <c r="C7" s="123" t="s">
        <v>109</v>
      </c>
      <c r="D7" s="81">
        <v>17.7</v>
      </c>
      <c r="E7" s="160">
        <f>MAX(D7:D8)</f>
        <v>18.5</v>
      </c>
    </row>
    <row r="8" spans="2:5" x14ac:dyDescent="0.35">
      <c r="B8" s="158" t="s">
        <v>5</v>
      </c>
      <c r="C8" s="154" t="s">
        <v>110</v>
      </c>
      <c r="D8" s="155">
        <v>18.5</v>
      </c>
      <c r="E8" s="161">
        <f>E7</f>
        <v>18.5</v>
      </c>
    </row>
    <row r="9" spans="2:5" x14ac:dyDescent="0.35">
      <c r="B9" s="122" t="s">
        <v>6</v>
      </c>
      <c r="C9" s="123" t="s">
        <v>110</v>
      </c>
      <c r="D9" s="81">
        <v>17.64</v>
      </c>
      <c r="E9" s="160">
        <f>MAX(D9:D10)</f>
        <v>17.64</v>
      </c>
    </row>
    <row r="10" spans="2:5" x14ac:dyDescent="0.35">
      <c r="B10" s="158" t="s">
        <v>6</v>
      </c>
      <c r="C10" s="154" t="s">
        <v>109</v>
      </c>
      <c r="D10" s="155">
        <v>16.88</v>
      </c>
      <c r="E10" s="161">
        <f>E9</f>
        <v>17.64</v>
      </c>
    </row>
    <row r="11" spans="2:5" x14ac:dyDescent="0.35">
      <c r="B11" s="122" t="s">
        <v>105</v>
      </c>
      <c r="C11" s="123" t="s">
        <v>110</v>
      </c>
      <c r="D11" s="81">
        <v>14.6</v>
      </c>
      <c r="E11" s="160">
        <f>MAX(D11:D12)</f>
        <v>14.6</v>
      </c>
    </row>
    <row r="12" spans="2:5" x14ac:dyDescent="0.35">
      <c r="B12" s="158" t="s">
        <v>105</v>
      </c>
      <c r="C12" s="154" t="s">
        <v>109</v>
      </c>
      <c r="D12" s="155">
        <v>13.82</v>
      </c>
      <c r="E12" s="161">
        <f>E11</f>
        <v>14.6</v>
      </c>
    </row>
    <row r="13" spans="2:5" x14ac:dyDescent="0.35">
      <c r="B13" s="122" t="s">
        <v>106</v>
      </c>
      <c r="C13" s="123" t="s">
        <v>109</v>
      </c>
      <c r="D13" s="81">
        <v>15.29</v>
      </c>
      <c r="E13" s="160">
        <f>MAX(D13:D14)</f>
        <v>16.07</v>
      </c>
    </row>
    <row r="14" spans="2:5" x14ac:dyDescent="0.35">
      <c r="B14" s="158" t="s">
        <v>106</v>
      </c>
      <c r="C14" s="154" t="s">
        <v>110</v>
      </c>
      <c r="D14" s="155">
        <v>16.07</v>
      </c>
      <c r="E14" s="161">
        <f>E13</f>
        <v>16.07</v>
      </c>
    </row>
    <row r="15" spans="2:5" x14ac:dyDescent="0.35">
      <c r="B15" s="122" t="s">
        <v>107</v>
      </c>
      <c r="C15" s="123" t="s">
        <v>109</v>
      </c>
      <c r="D15" s="81">
        <v>14.13</v>
      </c>
      <c r="E15" s="160">
        <f>MAX(D15:D16)</f>
        <v>14.95</v>
      </c>
    </row>
    <row r="16" spans="2:5" x14ac:dyDescent="0.35">
      <c r="B16" s="158" t="s">
        <v>107</v>
      </c>
      <c r="C16" s="154" t="s">
        <v>110</v>
      </c>
      <c r="D16" s="155">
        <v>14.95</v>
      </c>
      <c r="E16" s="161">
        <f>E15</f>
        <v>14.95</v>
      </c>
    </row>
    <row r="17" spans="2:5" x14ac:dyDescent="0.35">
      <c r="B17" s="122" t="s">
        <v>7</v>
      </c>
      <c r="C17" s="123" t="s">
        <v>109</v>
      </c>
      <c r="D17" s="81">
        <v>17.5</v>
      </c>
      <c r="E17" s="160">
        <f>MAX(D17:D18)</f>
        <v>18.510000000000002</v>
      </c>
    </row>
    <row r="18" spans="2:5" x14ac:dyDescent="0.35">
      <c r="B18" s="158" t="s">
        <v>7</v>
      </c>
      <c r="C18" s="154" t="s">
        <v>110</v>
      </c>
      <c r="D18" s="155">
        <v>18.510000000000002</v>
      </c>
      <c r="E18" s="161">
        <f>E17</f>
        <v>18.510000000000002</v>
      </c>
    </row>
    <row r="19" spans="2:5" x14ac:dyDescent="0.35">
      <c r="B19" s="122" t="s">
        <v>108</v>
      </c>
      <c r="C19" s="123" t="s">
        <v>109</v>
      </c>
      <c r="D19" s="81">
        <v>15.49</v>
      </c>
      <c r="E19" s="160">
        <f>MAX(D19:D20)</f>
        <v>16.27</v>
      </c>
    </row>
    <row r="20" spans="2:5" x14ac:dyDescent="0.35">
      <c r="B20" s="159" t="s">
        <v>108</v>
      </c>
      <c r="C20" s="50" t="s">
        <v>110</v>
      </c>
      <c r="D20" s="85">
        <v>16.27</v>
      </c>
      <c r="E20" s="162">
        <f>E19</f>
        <v>16.27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B307-757A-4782-A0B5-EAEC43A71B10}">
  <sheetPr>
    <tabColor theme="0" tint="-0.14999847407452621"/>
  </sheetPr>
  <dimension ref="B2:S134"/>
  <sheetViews>
    <sheetView showGridLines="0" topLeftCell="J1" workbookViewId="0">
      <selection activeCell="B45" sqref="B45"/>
    </sheetView>
  </sheetViews>
  <sheetFormatPr defaultRowHeight="14.5" x14ac:dyDescent="0.35"/>
  <cols>
    <col min="1" max="1" width="1.81640625" customWidth="1"/>
    <col min="2" max="2" width="23.81640625" bestFit="1" customWidth="1"/>
    <col min="3" max="3" width="17.36328125" bestFit="1" customWidth="1"/>
    <col min="4" max="4" width="14.453125" bestFit="1" customWidth="1"/>
    <col min="5" max="5" width="19.08984375" bestFit="1" customWidth="1"/>
    <col min="6" max="6" width="19.08984375" customWidth="1"/>
    <col min="7" max="7" width="18" bestFit="1" customWidth="1"/>
    <col min="8" max="8" width="19" bestFit="1" customWidth="1"/>
    <col min="10" max="10" width="13.36328125" bestFit="1" customWidth="1"/>
    <col min="11" max="11" width="23.81640625" bestFit="1" customWidth="1"/>
    <col min="12" max="12" width="8.81640625" bestFit="1" customWidth="1"/>
    <col min="13" max="13" width="7.6328125" bestFit="1" customWidth="1"/>
    <col min="14" max="14" width="7.6328125" customWidth="1"/>
    <col min="15" max="15" width="11.81640625" bestFit="1" customWidth="1"/>
    <col min="16" max="16" width="14.36328125" bestFit="1" customWidth="1"/>
    <col min="17" max="17" width="20" bestFit="1" customWidth="1"/>
    <col min="18" max="18" width="15.08984375" bestFit="1" customWidth="1"/>
    <col min="19" max="19" width="14" bestFit="1" customWidth="1"/>
  </cols>
  <sheetData>
    <row r="2" spans="2:19" x14ac:dyDescent="0.35">
      <c r="B2" s="113" t="s">
        <v>48</v>
      </c>
      <c r="C2" s="114" t="s">
        <v>94</v>
      </c>
      <c r="D2" s="115" t="s">
        <v>95</v>
      </c>
      <c r="J2" s="130" t="s">
        <v>150</v>
      </c>
    </row>
    <row r="3" spans="2:19" x14ac:dyDescent="0.35">
      <c r="B3" s="116" t="s">
        <v>96</v>
      </c>
      <c r="C3" s="117">
        <f>E41</f>
        <v>367162.84860999999</v>
      </c>
      <c r="D3" s="118">
        <f>E41*12</f>
        <v>4405954.1833199998</v>
      </c>
      <c r="J3" s="35" t="s">
        <v>27</v>
      </c>
      <c r="K3" s="35" t="s">
        <v>2</v>
      </c>
      <c r="L3" s="35" t="s">
        <v>38</v>
      </c>
      <c r="M3" s="35" t="s">
        <v>1</v>
      </c>
      <c r="N3" s="35" t="s">
        <v>55</v>
      </c>
      <c r="O3" s="35" t="s">
        <v>45</v>
      </c>
      <c r="P3" s="35" t="s">
        <v>46</v>
      </c>
      <c r="Q3" s="35" t="s">
        <v>57</v>
      </c>
      <c r="R3" s="35" t="s">
        <v>92</v>
      </c>
      <c r="S3" s="35" t="s">
        <v>93</v>
      </c>
    </row>
    <row r="4" spans="2:19" x14ac:dyDescent="0.35">
      <c r="B4" s="119" t="s">
        <v>97</v>
      </c>
      <c r="C4" s="17">
        <f>G41</f>
        <v>55074.427291500004</v>
      </c>
      <c r="D4" s="120">
        <f>G41*12</f>
        <v>660893.12749800005</v>
      </c>
      <c r="J4" t="s">
        <v>14</v>
      </c>
      <c r="K4" t="s">
        <v>10</v>
      </c>
      <c r="L4" s="3">
        <f t="shared" ref="L4:L35" si="0">VLOOKUP(K4,$B$14:$C$23,2,FALSE)</f>
        <v>15</v>
      </c>
      <c r="M4" s="27">
        <f t="shared" ref="M4:M35" si="1">VLOOKUP(J4,$B$28:$D$40,3,FALSE)</f>
        <v>0.373</v>
      </c>
      <c r="N4" s="3">
        <f>L4*(1+M4)</f>
        <v>20.594999999999999</v>
      </c>
      <c r="O4" s="27">
        <f t="shared" ref="O4:O35" si="2">VLOOKUP(K4,$B$14:$D$23,3,FALSE)</f>
        <v>0.39500000000000002</v>
      </c>
      <c r="P4" s="27">
        <f>VLOOKUP(J4,$B$28:$H$40,7,FALSE)</f>
        <v>0.48335001940380545</v>
      </c>
      <c r="Q4" s="27">
        <f>O4*P4</f>
        <v>0.19092325766450316</v>
      </c>
      <c r="R4" s="105">
        <f t="shared" ref="R4:R35" si="3">Q4*$C$3*N4</f>
        <v>1443707.9996542498</v>
      </c>
      <c r="S4" s="106">
        <f t="shared" ref="S4:S35" si="4">Q4*$C$4*(1.5*N4)</f>
        <v>324834.29992220626</v>
      </c>
    </row>
    <row r="5" spans="2:19" x14ac:dyDescent="0.35">
      <c r="B5" s="30" t="s">
        <v>98</v>
      </c>
      <c r="C5" s="121">
        <f>SUM(C3:C4)</f>
        <v>422237.27590150002</v>
      </c>
      <c r="D5" s="22">
        <f>SUM(D3:D4)</f>
        <v>5066847.3108179998</v>
      </c>
      <c r="J5" t="s">
        <v>14</v>
      </c>
      <c r="K5" t="s">
        <v>4</v>
      </c>
      <c r="L5" s="3">
        <f t="shared" si="0"/>
        <v>14.5</v>
      </c>
      <c r="M5" s="27">
        <f t="shared" si="1"/>
        <v>0.373</v>
      </c>
      <c r="N5" s="3">
        <f t="shared" ref="N5:N68" si="5">L5*(1+M5)</f>
        <v>19.9085</v>
      </c>
      <c r="O5" s="27">
        <f t="shared" si="2"/>
        <v>0.34260000000000002</v>
      </c>
      <c r="P5" s="27">
        <f t="shared" ref="P5:P68" si="6">VLOOKUP(J5,$B$28:$H$40,7,FALSE)</f>
        <v>0.48335001940380545</v>
      </c>
      <c r="Q5" s="27">
        <f t="shared" ref="Q5:Q68" si="7">O5*P5</f>
        <v>0.16559571664774375</v>
      </c>
      <c r="R5" s="105">
        <f t="shared" si="3"/>
        <v>1210448.646393657</v>
      </c>
      <c r="S5" s="106">
        <f t="shared" si="4"/>
        <v>272350.94543857279</v>
      </c>
    </row>
    <row r="6" spans="2:19" x14ac:dyDescent="0.35">
      <c r="B6" s="122"/>
      <c r="C6" s="123"/>
      <c r="D6" s="124"/>
      <c r="J6" t="s">
        <v>14</v>
      </c>
      <c r="K6" t="s">
        <v>3</v>
      </c>
      <c r="L6" s="3">
        <f t="shared" si="0"/>
        <v>16</v>
      </c>
      <c r="M6" s="27">
        <f t="shared" si="1"/>
        <v>0.373</v>
      </c>
      <c r="N6" s="3">
        <f t="shared" si="5"/>
        <v>21.968</v>
      </c>
      <c r="O6" s="27">
        <f t="shared" si="2"/>
        <v>8.5000000000000006E-2</v>
      </c>
      <c r="P6" s="27">
        <f t="shared" si="6"/>
        <v>0.48335001940380545</v>
      </c>
      <c r="Q6" s="27">
        <f t="shared" si="7"/>
        <v>4.1084751649323466E-2</v>
      </c>
      <c r="R6" s="105">
        <f t="shared" si="3"/>
        <v>331382.76447759999</v>
      </c>
      <c r="S6" s="106">
        <f t="shared" si="4"/>
        <v>74561.122007459999</v>
      </c>
    </row>
    <row r="7" spans="2:19" x14ac:dyDescent="0.35">
      <c r="B7" s="116" t="s">
        <v>41</v>
      </c>
      <c r="C7" s="125">
        <f>R134</f>
        <v>7766439.3129841899</v>
      </c>
      <c r="D7" s="126">
        <f>C7*12</f>
        <v>93197271.755810276</v>
      </c>
      <c r="J7" t="s">
        <v>14</v>
      </c>
      <c r="K7" t="s">
        <v>29</v>
      </c>
      <c r="L7" s="3">
        <f t="shared" si="0"/>
        <v>17</v>
      </c>
      <c r="M7" s="27">
        <f t="shared" si="1"/>
        <v>0.373</v>
      </c>
      <c r="N7" s="3">
        <f t="shared" si="5"/>
        <v>23.341000000000001</v>
      </c>
      <c r="O7" s="27">
        <f t="shared" si="2"/>
        <v>4.8500000000000001E-2</v>
      </c>
      <c r="P7" s="27">
        <f t="shared" si="6"/>
        <v>0.48335001940380545</v>
      </c>
      <c r="Q7" s="27">
        <f t="shared" si="7"/>
        <v>2.3442475941084565E-2</v>
      </c>
      <c r="R7" s="105">
        <f t="shared" si="3"/>
        <v>200900.80096454499</v>
      </c>
      <c r="S7" s="106">
        <f t="shared" si="4"/>
        <v>45202.680217022629</v>
      </c>
    </row>
    <row r="8" spans="2:19" x14ac:dyDescent="0.35">
      <c r="B8" s="119" t="s">
        <v>42</v>
      </c>
      <c r="C8" s="38">
        <f>S134</f>
        <v>1747448.8454214421</v>
      </c>
      <c r="D8" s="127">
        <f>C8*12</f>
        <v>20969386.145057306</v>
      </c>
      <c r="J8" t="s">
        <v>14</v>
      </c>
      <c r="K8" t="s">
        <v>6</v>
      </c>
      <c r="L8" s="3">
        <f t="shared" si="0"/>
        <v>18</v>
      </c>
      <c r="M8" s="27">
        <f t="shared" si="1"/>
        <v>0.373</v>
      </c>
      <c r="N8" s="3">
        <f t="shared" si="5"/>
        <v>24.713999999999999</v>
      </c>
      <c r="O8" s="27">
        <f t="shared" si="2"/>
        <v>4.7199999999999999E-2</v>
      </c>
      <c r="P8" s="27">
        <f t="shared" si="6"/>
        <v>0.48335001940380545</v>
      </c>
      <c r="Q8" s="27">
        <f t="shared" si="7"/>
        <v>2.2814120915859618E-2</v>
      </c>
      <c r="R8" s="105">
        <f t="shared" si="3"/>
        <v>207016.76227953599</v>
      </c>
      <c r="S8" s="106">
        <f t="shared" si="4"/>
        <v>46578.771512895597</v>
      </c>
    </row>
    <row r="9" spans="2:19" x14ac:dyDescent="0.35">
      <c r="B9" s="31" t="s">
        <v>47</v>
      </c>
      <c r="C9" s="128">
        <f>SUM(C7:C8)</f>
        <v>9513888.1584056318</v>
      </c>
      <c r="D9" s="129">
        <f>SUM(D7:D8)</f>
        <v>114166657.90086758</v>
      </c>
      <c r="J9" t="s">
        <v>14</v>
      </c>
      <c r="K9" t="s">
        <v>30</v>
      </c>
      <c r="L9" s="3">
        <f t="shared" si="0"/>
        <v>18</v>
      </c>
      <c r="M9" s="27">
        <f t="shared" si="1"/>
        <v>0.373</v>
      </c>
      <c r="N9" s="3">
        <f t="shared" si="5"/>
        <v>24.713999999999999</v>
      </c>
      <c r="O9" s="27">
        <f t="shared" si="2"/>
        <v>3.6999999999999998E-2</v>
      </c>
      <c r="P9" s="27">
        <f t="shared" si="6"/>
        <v>0.48335001940380545</v>
      </c>
      <c r="Q9" s="27">
        <f t="shared" si="7"/>
        <v>1.78839507179408E-2</v>
      </c>
      <c r="R9" s="105">
        <f t="shared" si="3"/>
        <v>162280.08907505995</v>
      </c>
      <c r="S9" s="106">
        <f t="shared" si="4"/>
        <v>36513.020041888492</v>
      </c>
    </row>
    <row r="10" spans="2:19" x14ac:dyDescent="0.35">
      <c r="J10" t="s">
        <v>14</v>
      </c>
      <c r="K10" t="s">
        <v>11</v>
      </c>
      <c r="L10" s="3">
        <f t="shared" si="0"/>
        <v>17</v>
      </c>
      <c r="M10" s="27">
        <f t="shared" si="1"/>
        <v>0.373</v>
      </c>
      <c r="N10" s="3">
        <f t="shared" si="5"/>
        <v>23.341000000000001</v>
      </c>
      <c r="O10" s="27">
        <f t="shared" si="2"/>
        <v>2.8500000000000001E-2</v>
      </c>
      <c r="P10" s="27">
        <f t="shared" si="6"/>
        <v>0.48335001940380545</v>
      </c>
      <c r="Q10" s="27">
        <f t="shared" si="7"/>
        <v>1.3775475553008456E-2</v>
      </c>
      <c r="R10" s="105">
        <f t="shared" si="3"/>
        <v>118055.10984514499</v>
      </c>
      <c r="S10" s="106">
        <f t="shared" si="4"/>
        <v>26562.399715157626</v>
      </c>
    </row>
    <row r="11" spans="2:19" x14ac:dyDescent="0.35">
      <c r="J11" t="s">
        <v>14</v>
      </c>
      <c r="K11" t="s">
        <v>5</v>
      </c>
      <c r="L11" s="3">
        <f t="shared" si="0"/>
        <v>19</v>
      </c>
      <c r="M11" s="27">
        <f t="shared" si="1"/>
        <v>0.373</v>
      </c>
      <c r="N11" s="3">
        <f t="shared" si="5"/>
        <v>26.087</v>
      </c>
      <c r="O11" s="27">
        <f t="shared" si="2"/>
        <v>1.1900000000000001E-2</v>
      </c>
      <c r="P11" s="27">
        <f t="shared" si="6"/>
        <v>0.48335001940380545</v>
      </c>
      <c r="Q11" s="27">
        <f t="shared" si="7"/>
        <v>5.7518652309052854E-3</v>
      </c>
      <c r="R11" s="105">
        <f t="shared" si="3"/>
        <v>55092.384594401003</v>
      </c>
      <c r="S11" s="106">
        <f t="shared" si="4"/>
        <v>12395.786533740225</v>
      </c>
    </row>
    <row r="12" spans="2:19" x14ac:dyDescent="0.35">
      <c r="B12" s="12" t="s">
        <v>149</v>
      </c>
      <c r="C12" s="12"/>
      <c r="D12" s="12"/>
      <c r="E12" s="12"/>
      <c r="F12" s="12"/>
      <c r="G12" s="12"/>
      <c r="H12" s="12"/>
      <c r="J12" t="s">
        <v>14</v>
      </c>
      <c r="K12" t="s">
        <v>7</v>
      </c>
      <c r="L12" s="3">
        <f t="shared" si="0"/>
        <v>20</v>
      </c>
      <c r="M12" s="27">
        <f t="shared" si="1"/>
        <v>0.373</v>
      </c>
      <c r="N12" s="3">
        <f t="shared" si="5"/>
        <v>27.46</v>
      </c>
      <c r="O12" s="27">
        <f t="shared" si="2"/>
        <v>3.0000000000000001E-3</v>
      </c>
      <c r="P12" s="27">
        <f t="shared" si="6"/>
        <v>0.48335001940380545</v>
      </c>
      <c r="Q12" s="27">
        <f t="shared" si="7"/>
        <v>1.4500500582114164E-3</v>
      </c>
      <c r="R12" s="105">
        <f t="shared" si="3"/>
        <v>14619.827844599999</v>
      </c>
      <c r="S12" s="106">
        <f t="shared" si="4"/>
        <v>3289.4612650349995</v>
      </c>
    </row>
    <row r="13" spans="2:19" x14ac:dyDescent="0.35">
      <c r="B13" s="5" t="s">
        <v>2</v>
      </c>
      <c r="C13" s="6" t="s">
        <v>0</v>
      </c>
      <c r="D13" s="6" t="s">
        <v>12</v>
      </c>
      <c r="E13" s="5" t="s">
        <v>130</v>
      </c>
      <c r="F13" s="5" t="s">
        <v>131</v>
      </c>
      <c r="J13" t="s">
        <v>14</v>
      </c>
      <c r="K13" t="s">
        <v>9</v>
      </c>
      <c r="L13" s="3">
        <f t="shared" si="0"/>
        <v>22</v>
      </c>
      <c r="M13" s="27">
        <f t="shared" si="1"/>
        <v>0.373</v>
      </c>
      <c r="N13" s="3">
        <f t="shared" si="5"/>
        <v>30.206</v>
      </c>
      <c r="O13" s="27">
        <f t="shared" si="2"/>
        <v>1.2999999999999999E-3</v>
      </c>
      <c r="P13" s="27">
        <f t="shared" si="6"/>
        <v>0.48335001940380545</v>
      </c>
      <c r="Q13" s="27">
        <f t="shared" si="7"/>
        <v>6.2835502522494706E-4</v>
      </c>
      <c r="R13" s="105">
        <f t="shared" si="3"/>
        <v>6968.7846059259991</v>
      </c>
      <c r="S13" s="106">
        <f t="shared" si="4"/>
        <v>1567.9765363333499</v>
      </c>
    </row>
    <row r="14" spans="2:19" x14ac:dyDescent="0.35">
      <c r="B14" t="s">
        <v>10</v>
      </c>
      <c r="C14" s="8">
        <v>15</v>
      </c>
      <c r="D14" s="9">
        <v>0.39500000000000002</v>
      </c>
      <c r="E14" s="101">
        <f>$D$3*D14</f>
        <v>1740351.9024114001</v>
      </c>
      <c r="F14" s="101">
        <f t="shared" ref="F14:F23" si="8">$D$4*D14</f>
        <v>261052.78536171003</v>
      </c>
      <c r="J14" t="s">
        <v>15</v>
      </c>
      <c r="K14" t="s">
        <v>10</v>
      </c>
      <c r="L14" s="3">
        <f t="shared" si="0"/>
        <v>15</v>
      </c>
      <c r="M14" s="27">
        <f t="shared" si="1"/>
        <v>0.4</v>
      </c>
      <c r="N14" s="3">
        <f t="shared" si="5"/>
        <v>21</v>
      </c>
      <c r="O14" s="27">
        <f t="shared" si="2"/>
        <v>0.39500000000000002</v>
      </c>
      <c r="P14" s="27">
        <f t="shared" si="6"/>
        <v>0.2064342846422062</v>
      </c>
      <c r="Q14" s="27">
        <f t="shared" si="7"/>
        <v>8.1541542433671454E-2</v>
      </c>
      <c r="R14" s="105">
        <f t="shared" si="3"/>
        <v>628719.52500000002</v>
      </c>
      <c r="S14" s="106">
        <f t="shared" si="4"/>
        <v>141461.89312500003</v>
      </c>
    </row>
    <row r="15" spans="2:19" x14ac:dyDescent="0.35">
      <c r="B15" t="s">
        <v>4</v>
      </c>
      <c r="C15" s="8">
        <v>14.5</v>
      </c>
      <c r="D15" s="9">
        <v>0.34260000000000002</v>
      </c>
      <c r="E15" s="101">
        <f t="shared" ref="E15:E23" si="9">$D$3*D15</f>
        <v>1509479.903205432</v>
      </c>
      <c r="F15" s="101">
        <f t="shared" si="8"/>
        <v>226421.98548081482</v>
      </c>
      <c r="J15" t="s">
        <v>15</v>
      </c>
      <c r="K15" t="s">
        <v>4</v>
      </c>
      <c r="L15" s="3">
        <f t="shared" si="0"/>
        <v>14.5</v>
      </c>
      <c r="M15" s="27">
        <f t="shared" si="1"/>
        <v>0.4</v>
      </c>
      <c r="N15" s="3">
        <f t="shared" si="5"/>
        <v>20.299999999999997</v>
      </c>
      <c r="O15" s="27">
        <f t="shared" si="2"/>
        <v>0.34260000000000002</v>
      </c>
      <c r="P15" s="27">
        <f t="shared" si="6"/>
        <v>0.2064342846422062</v>
      </c>
      <c r="Q15" s="27">
        <f t="shared" si="7"/>
        <v>7.0724385918419841E-2</v>
      </c>
      <c r="R15" s="105">
        <f t="shared" si="3"/>
        <v>527137.55009999988</v>
      </c>
      <c r="S15" s="106">
        <f t="shared" si="4"/>
        <v>118605.94877249999</v>
      </c>
    </row>
    <row r="16" spans="2:19" x14ac:dyDescent="0.35">
      <c r="B16" t="s">
        <v>3</v>
      </c>
      <c r="C16" s="8">
        <v>16</v>
      </c>
      <c r="D16" s="9">
        <v>8.5000000000000006E-2</v>
      </c>
      <c r="E16" s="101">
        <f t="shared" si="9"/>
        <v>374506.10558219999</v>
      </c>
      <c r="F16" s="101">
        <f t="shared" si="8"/>
        <v>56175.915837330009</v>
      </c>
      <c r="J16" t="s">
        <v>15</v>
      </c>
      <c r="K16" t="s">
        <v>3</v>
      </c>
      <c r="L16" s="3">
        <f t="shared" si="0"/>
        <v>16</v>
      </c>
      <c r="M16" s="27">
        <f t="shared" si="1"/>
        <v>0.4</v>
      </c>
      <c r="N16" s="3">
        <f t="shared" si="5"/>
        <v>22.4</v>
      </c>
      <c r="O16" s="27">
        <f t="shared" si="2"/>
        <v>8.5000000000000006E-2</v>
      </c>
      <c r="P16" s="27">
        <f t="shared" si="6"/>
        <v>0.2064342846422062</v>
      </c>
      <c r="Q16" s="27">
        <f t="shared" si="7"/>
        <v>1.7546914194587527E-2</v>
      </c>
      <c r="R16" s="105">
        <f t="shared" si="3"/>
        <v>144313.68</v>
      </c>
      <c r="S16" s="106">
        <f t="shared" si="4"/>
        <v>32470.577999999998</v>
      </c>
    </row>
    <row r="17" spans="2:19" x14ac:dyDescent="0.35">
      <c r="B17" t="s">
        <v>29</v>
      </c>
      <c r="C17" s="8">
        <v>17</v>
      </c>
      <c r="D17" s="9">
        <v>4.8500000000000001E-2</v>
      </c>
      <c r="E17" s="101">
        <f t="shared" si="9"/>
        <v>213688.77789102</v>
      </c>
      <c r="F17" s="101">
        <f t="shared" si="8"/>
        <v>32053.316683653004</v>
      </c>
      <c r="J17" t="s">
        <v>15</v>
      </c>
      <c r="K17" t="s">
        <v>29</v>
      </c>
      <c r="L17" s="3">
        <f t="shared" si="0"/>
        <v>17</v>
      </c>
      <c r="M17" s="27">
        <f t="shared" si="1"/>
        <v>0.4</v>
      </c>
      <c r="N17" s="3">
        <f t="shared" si="5"/>
        <v>23.799999999999997</v>
      </c>
      <c r="O17" s="27">
        <f t="shared" si="2"/>
        <v>4.8500000000000001E-2</v>
      </c>
      <c r="P17" s="27">
        <f t="shared" si="6"/>
        <v>0.2064342846422062</v>
      </c>
      <c r="Q17" s="27">
        <f t="shared" si="7"/>
        <v>1.0012062805147002E-2</v>
      </c>
      <c r="R17" s="105">
        <f t="shared" si="3"/>
        <v>87490.1685</v>
      </c>
      <c r="S17" s="106">
        <f t="shared" si="4"/>
        <v>19685.287912500004</v>
      </c>
    </row>
    <row r="18" spans="2:19" x14ac:dyDescent="0.35">
      <c r="B18" t="s">
        <v>6</v>
      </c>
      <c r="C18" s="8">
        <v>18</v>
      </c>
      <c r="D18" s="9">
        <v>4.7199999999999999E-2</v>
      </c>
      <c r="E18" s="101">
        <f t="shared" si="9"/>
        <v>207961.03745270398</v>
      </c>
      <c r="F18" s="101">
        <f t="shared" si="8"/>
        <v>31194.155617905602</v>
      </c>
      <c r="J18" t="s">
        <v>15</v>
      </c>
      <c r="K18" t="s">
        <v>6</v>
      </c>
      <c r="L18" s="3">
        <f t="shared" si="0"/>
        <v>18</v>
      </c>
      <c r="M18" s="27">
        <f t="shared" si="1"/>
        <v>0.4</v>
      </c>
      <c r="N18" s="3">
        <f t="shared" si="5"/>
        <v>25.2</v>
      </c>
      <c r="O18" s="27">
        <f t="shared" si="2"/>
        <v>4.7199999999999999E-2</v>
      </c>
      <c r="P18" s="27">
        <f t="shared" si="6"/>
        <v>0.2064342846422062</v>
      </c>
      <c r="Q18" s="27">
        <f t="shared" si="7"/>
        <v>9.7436982351121332E-3</v>
      </c>
      <c r="R18" s="105">
        <f t="shared" si="3"/>
        <v>90153.604800000001</v>
      </c>
      <c r="S18" s="106">
        <f t="shared" si="4"/>
        <v>20284.561080000003</v>
      </c>
    </row>
    <row r="19" spans="2:19" x14ac:dyDescent="0.35">
      <c r="B19" t="s">
        <v>30</v>
      </c>
      <c r="C19" s="8">
        <v>18</v>
      </c>
      <c r="D19" s="9">
        <v>3.6999999999999998E-2</v>
      </c>
      <c r="E19" s="101">
        <f t="shared" si="9"/>
        <v>163020.30478283999</v>
      </c>
      <c r="F19" s="101">
        <f t="shared" si="8"/>
        <v>24453.045717426001</v>
      </c>
      <c r="J19" t="s">
        <v>15</v>
      </c>
      <c r="K19" t="s">
        <v>30</v>
      </c>
      <c r="L19" s="3">
        <f t="shared" si="0"/>
        <v>18</v>
      </c>
      <c r="M19" s="27">
        <f t="shared" si="1"/>
        <v>0.4</v>
      </c>
      <c r="N19" s="3">
        <f t="shared" si="5"/>
        <v>25.2</v>
      </c>
      <c r="O19" s="27">
        <f t="shared" si="2"/>
        <v>3.6999999999999998E-2</v>
      </c>
      <c r="P19" s="27">
        <f t="shared" si="6"/>
        <v>0.2064342846422062</v>
      </c>
      <c r="Q19" s="27">
        <f t="shared" si="7"/>
        <v>7.6380685317616291E-3</v>
      </c>
      <c r="R19" s="105">
        <f t="shared" si="3"/>
        <v>70671.258000000002</v>
      </c>
      <c r="S19" s="106">
        <f t="shared" si="4"/>
        <v>15901.03305</v>
      </c>
    </row>
    <row r="20" spans="2:19" x14ac:dyDescent="0.35">
      <c r="B20" t="s">
        <v>11</v>
      </c>
      <c r="C20" s="8">
        <v>17</v>
      </c>
      <c r="D20" s="9">
        <v>2.8500000000000001E-2</v>
      </c>
      <c r="E20" s="101">
        <f t="shared" si="9"/>
        <v>125569.69422462001</v>
      </c>
      <c r="F20" s="101">
        <f t="shared" si="8"/>
        <v>18835.454133693001</v>
      </c>
      <c r="J20" t="s">
        <v>15</v>
      </c>
      <c r="K20" t="s">
        <v>11</v>
      </c>
      <c r="L20" s="3">
        <f t="shared" si="0"/>
        <v>17</v>
      </c>
      <c r="M20" s="27">
        <f t="shared" si="1"/>
        <v>0.4</v>
      </c>
      <c r="N20" s="3">
        <f t="shared" si="5"/>
        <v>23.799999999999997</v>
      </c>
      <c r="O20" s="27">
        <f t="shared" si="2"/>
        <v>2.8500000000000001E-2</v>
      </c>
      <c r="P20" s="27">
        <f t="shared" si="6"/>
        <v>0.2064342846422062</v>
      </c>
      <c r="Q20" s="27">
        <f t="shared" si="7"/>
        <v>5.8833771123028766E-3</v>
      </c>
      <c r="R20" s="105">
        <f t="shared" si="3"/>
        <v>51411.748499999987</v>
      </c>
      <c r="S20" s="106">
        <f t="shared" si="4"/>
        <v>11567.6434125</v>
      </c>
    </row>
    <row r="21" spans="2:19" x14ac:dyDescent="0.35">
      <c r="B21" t="s">
        <v>5</v>
      </c>
      <c r="C21" s="8">
        <v>19</v>
      </c>
      <c r="D21" s="9">
        <v>1.1900000000000001E-2</v>
      </c>
      <c r="E21" s="101">
        <f t="shared" si="9"/>
        <v>52430.854781508002</v>
      </c>
      <c r="F21" s="101">
        <f t="shared" si="8"/>
        <v>7864.6282172262008</v>
      </c>
      <c r="J21" t="s">
        <v>15</v>
      </c>
      <c r="K21" t="s">
        <v>5</v>
      </c>
      <c r="L21" s="3">
        <f t="shared" si="0"/>
        <v>19</v>
      </c>
      <c r="M21" s="27">
        <f t="shared" si="1"/>
        <v>0.4</v>
      </c>
      <c r="N21" s="3">
        <f t="shared" si="5"/>
        <v>26.599999999999998</v>
      </c>
      <c r="O21" s="27">
        <f t="shared" si="2"/>
        <v>1.1900000000000001E-2</v>
      </c>
      <c r="P21" s="27">
        <f t="shared" si="6"/>
        <v>0.2064342846422062</v>
      </c>
      <c r="Q21" s="27">
        <f t="shared" si="7"/>
        <v>2.4565679872422539E-3</v>
      </c>
      <c r="R21" s="105">
        <f t="shared" si="3"/>
        <v>23992.149299999997</v>
      </c>
      <c r="S21" s="106">
        <f t="shared" si="4"/>
        <v>5398.2335925000007</v>
      </c>
    </row>
    <row r="22" spans="2:19" x14ac:dyDescent="0.35">
      <c r="B22" t="s">
        <v>7</v>
      </c>
      <c r="C22" s="8">
        <v>20</v>
      </c>
      <c r="D22" s="9">
        <v>3.0000000000000001E-3</v>
      </c>
      <c r="E22" s="101">
        <f t="shared" si="9"/>
        <v>13217.86254996</v>
      </c>
      <c r="F22" s="101">
        <f t="shared" si="8"/>
        <v>1982.6793824940003</v>
      </c>
      <c r="J22" t="s">
        <v>15</v>
      </c>
      <c r="K22" t="s">
        <v>7</v>
      </c>
      <c r="L22" s="3">
        <f t="shared" si="0"/>
        <v>20</v>
      </c>
      <c r="M22" s="27">
        <f t="shared" si="1"/>
        <v>0.4</v>
      </c>
      <c r="N22" s="3">
        <f t="shared" si="5"/>
        <v>28</v>
      </c>
      <c r="O22" s="27">
        <f t="shared" si="2"/>
        <v>3.0000000000000001E-3</v>
      </c>
      <c r="P22" s="27">
        <f t="shared" si="6"/>
        <v>0.2064342846422062</v>
      </c>
      <c r="Q22" s="27">
        <f t="shared" si="7"/>
        <v>6.1930285392661861E-4</v>
      </c>
      <c r="R22" s="105">
        <f t="shared" si="3"/>
        <v>6366.78</v>
      </c>
      <c r="S22" s="106">
        <f t="shared" si="4"/>
        <v>1432.5255000000002</v>
      </c>
    </row>
    <row r="23" spans="2:19" x14ac:dyDescent="0.35">
      <c r="B23" t="s">
        <v>9</v>
      </c>
      <c r="C23" s="24">
        <v>22</v>
      </c>
      <c r="D23" s="25">
        <v>1.2999999999999999E-3</v>
      </c>
      <c r="E23" s="168">
        <f t="shared" si="9"/>
        <v>5727.7404383159992</v>
      </c>
      <c r="F23" s="168">
        <f t="shared" si="8"/>
        <v>859.16106574740002</v>
      </c>
      <c r="J23" t="s">
        <v>15</v>
      </c>
      <c r="K23" t="s">
        <v>9</v>
      </c>
      <c r="L23" s="3">
        <f t="shared" si="0"/>
        <v>22</v>
      </c>
      <c r="M23" s="27">
        <f t="shared" si="1"/>
        <v>0.4</v>
      </c>
      <c r="N23" s="3">
        <f t="shared" si="5"/>
        <v>30.799999999999997</v>
      </c>
      <c r="O23" s="27">
        <f t="shared" si="2"/>
        <v>1.2999999999999999E-3</v>
      </c>
      <c r="P23" s="27">
        <f t="shared" si="6"/>
        <v>0.2064342846422062</v>
      </c>
      <c r="Q23" s="27">
        <f t="shared" si="7"/>
        <v>2.6836457003486804E-4</v>
      </c>
      <c r="R23" s="105">
        <f t="shared" si="3"/>
        <v>3034.8317999999995</v>
      </c>
      <c r="S23" s="106">
        <f t="shared" si="4"/>
        <v>682.83715499999994</v>
      </c>
    </row>
    <row r="24" spans="2:19" x14ac:dyDescent="0.35">
      <c r="C24" s="23" t="s">
        <v>13</v>
      </c>
      <c r="D24" s="7">
        <f>SUM(D14:D23)</f>
        <v>1</v>
      </c>
      <c r="E24" s="169">
        <f>SUM(E14:E23)</f>
        <v>4405954.1833200008</v>
      </c>
      <c r="F24" s="169">
        <f>SUM(F14:F23)</f>
        <v>660893.12749800005</v>
      </c>
      <c r="J24" t="s">
        <v>16</v>
      </c>
      <c r="K24" t="s">
        <v>10</v>
      </c>
      <c r="L24" s="3">
        <f t="shared" si="0"/>
        <v>15</v>
      </c>
      <c r="M24" s="27">
        <f t="shared" si="1"/>
        <v>0.34</v>
      </c>
      <c r="N24" s="3">
        <f t="shared" si="5"/>
        <v>20.100000000000001</v>
      </c>
      <c r="O24" s="27">
        <f t="shared" si="2"/>
        <v>0.39500000000000002</v>
      </c>
      <c r="P24" s="27">
        <f t="shared" si="6"/>
        <v>5.1672684401009063E-2</v>
      </c>
      <c r="Q24" s="27">
        <f t="shared" si="7"/>
        <v>2.0410710338398582E-2</v>
      </c>
      <c r="R24" s="105">
        <f t="shared" si="3"/>
        <v>150630.49645500001</v>
      </c>
      <c r="S24" s="106">
        <f t="shared" si="4"/>
        <v>33891.861702375005</v>
      </c>
    </row>
    <row r="25" spans="2:19" x14ac:dyDescent="0.35">
      <c r="J25" t="s">
        <v>16</v>
      </c>
      <c r="K25" t="s">
        <v>4</v>
      </c>
      <c r="L25" s="3">
        <f t="shared" si="0"/>
        <v>14.5</v>
      </c>
      <c r="M25" s="27">
        <f t="shared" si="1"/>
        <v>0.34</v>
      </c>
      <c r="N25" s="3">
        <f t="shared" si="5"/>
        <v>19.43</v>
      </c>
      <c r="O25" s="27">
        <f t="shared" si="2"/>
        <v>0.34260000000000002</v>
      </c>
      <c r="P25" s="27">
        <f t="shared" si="6"/>
        <v>5.1672684401009063E-2</v>
      </c>
      <c r="Q25" s="27">
        <f t="shared" si="7"/>
        <v>1.7703061675785704E-2</v>
      </c>
      <c r="R25" s="105">
        <f t="shared" si="3"/>
        <v>126293.18434421999</v>
      </c>
      <c r="S25" s="106">
        <f t="shared" si="4"/>
        <v>28415.9664774495</v>
      </c>
    </row>
    <row r="26" spans="2:19" x14ac:dyDescent="0.35">
      <c r="B26" s="12" t="s">
        <v>151</v>
      </c>
      <c r="C26" s="12"/>
      <c r="D26" s="12"/>
      <c r="E26" s="12"/>
      <c r="F26" s="12"/>
      <c r="G26" s="12"/>
      <c r="H26" s="12"/>
      <c r="J26" t="s">
        <v>16</v>
      </c>
      <c r="K26" t="s">
        <v>3</v>
      </c>
      <c r="L26" s="3">
        <f t="shared" si="0"/>
        <v>16</v>
      </c>
      <c r="M26" s="27">
        <f t="shared" si="1"/>
        <v>0.34</v>
      </c>
      <c r="N26" s="3">
        <f t="shared" si="5"/>
        <v>21.44</v>
      </c>
      <c r="O26" s="27">
        <f t="shared" si="2"/>
        <v>8.5000000000000006E-2</v>
      </c>
      <c r="P26" s="27">
        <f t="shared" si="6"/>
        <v>5.1672684401009063E-2</v>
      </c>
      <c r="Q26" s="27">
        <f t="shared" si="7"/>
        <v>4.392178174085771E-3</v>
      </c>
      <c r="R26" s="105">
        <f t="shared" si="3"/>
        <v>34575.101296000008</v>
      </c>
      <c r="S26" s="106">
        <f t="shared" si="4"/>
        <v>7779.3977916000022</v>
      </c>
    </row>
    <row r="27" spans="2:19" x14ac:dyDescent="0.35">
      <c r="B27" s="14" t="s">
        <v>27</v>
      </c>
      <c r="C27" s="14" t="s">
        <v>31</v>
      </c>
      <c r="D27" s="6" t="s">
        <v>1</v>
      </c>
      <c r="E27" s="6" t="s">
        <v>44</v>
      </c>
      <c r="F27" s="95" t="s">
        <v>43</v>
      </c>
      <c r="G27" s="21" t="s">
        <v>139</v>
      </c>
      <c r="H27" s="6" t="s">
        <v>91</v>
      </c>
      <c r="J27" t="s">
        <v>16</v>
      </c>
      <c r="K27" t="s">
        <v>29</v>
      </c>
      <c r="L27" s="3">
        <f t="shared" si="0"/>
        <v>17</v>
      </c>
      <c r="M27" s="27">
        <f t="shared" si="1"/>
        <v>0.34</v>
      </c>
      <c r="N27" s="3">
        <f t="shared" si="5"/>
        <v>22.78</v>
      </c>
      <c r="O27" s="27">
        <f t="shared" si="2"/>
        <v>4.8500000000000001E-2</v>
      </c>
      <c r="P27" s="27">
        <f t="shared" si="6"/>
        <v>5.1672684401009063E-2</v>
      </c>
      <c r="Q27" s="27">
        <f t="shared" si="7"/>
        <v>2.5061251934489397E-3</v>
      </c>
      <c r="R27" s="105">
        <f t="shared" si="3"/>
        <v>20961.1551607</v>
      </c>
      <c r="S27" s="106">
        <f t="shared" si="4"/>
        <v>4716.2599111575009</v>
      </c>
    </row>
    <row r="28" spans="2:19" x14ac:dyDescent="0.35">
      <c r="B28" t="s">
        <v>14</v>
      </c>
      <c r="C28" t="s">
        <v>32</v>
      </c>
      <c r="D28" s="15">
        <v>0.373</v>
      </c>
      <c r="E28" s="10">
        <v>177468.16999999998</v>
      </c>
      <c r="F28" s="10">
        <v>24576.149999999987</v>
      </c>
      <c r="G28" s="102">
        <f>E28*0.15</f>
        <v>26620.225499999997</v>
      </c>
      <c r="H28" s="4">
        <f t="shared" ref="H28:H41" si="10">E28/$E$41</f>
        <v>0.48335001940380545</v>
      </c>
      <c r="J28" t="s">
        <v>16</v>
      </c>
      <c r="K28" t="s">
        <v>6</v>
      </c>
      <c r="L28" s="3">
        <f t="shared" si="0"/>
        <v>18</v>
      </c>
      <c r="M28" s="27">
        <f t="shared" si="1"/>
        <v>0.34</v>
      </c>
      <c r="N28" s="3">
        <f t="shared" si="5"/>
        <v>24.12</v>
      </c>
      <c r="O28" s="27">
        <f t="shared" si="2"/>
        <v>4.7199999999999999E-2</v>
      </c>
      <c r="P28" s="27">
        <f t="shared" si="6"/>
        <v>5.1672684401009063E-2</v>
      </c>
      <c r="Q28" s="27">
        <f t="shared" si="7"/>
        <v>2.4389507037276279E-3</v>
      </c>
      <c r="R28" s="105">
        <f t="shared" si="3"/>
        <v>21599.269162560002</v>
      </c>
      <c r="S28" s="106">
        <f t="shared" si="4"/>
        <v>4859.8355615760011</v>
      </c>
    </row>
    <row r="29" spans="2:19" x14ac:dyDescent="0.35">
      <c r="B29" t="s">
        <v>15</v>
      </c>
      <c r="C29" t="s">
        <v>32</v>
      </c>
      <c r="D29" s="13">
        <v>0.4</v>
      </c>
      <c r="E29" s="10">
        <v>75795</v>
      </c>
      <c r="F29" s="10">
        <v>17948</v>
      </c>
      <c r="G29" s="102">
        <f t="shared" ref="G29:G40" si="11">E29*0.15</f>
        <v>11369.25</v>
      </c>
      <c r="H29" s="4">
        <f t="shared" si="10"/>
        <v>0.2064342846422062</v>
      </c>
      <c r="J29" t="s">
        <v>16</v>
      </c>
      <c r="K29" t="s">
        <v>30</v>
      </c>
      <c r="L29" s="3">
        <f t="shared" si="0"/>
        <v>18</v>
      </c>
      <c r="M29" s="27">
        <f t="shared" si="1"/>
        <v>0.34</v>
      </c>
      <c r="N29" s="3">
        <f t="shared" si="5"/>
        <v>24.12</v>
      </c>
      <c r="O29" s="27">
        <f t="shared" si="2"/>
        <v>3.6999999999999998E-2</v>
      </c>
      <c r="P29" s="27">
        <f t="shared" si="6"/>
        <v>5.1672684401009063E-2</v>
      </c>
      <c r="Q29" s="27">
        <f t="shared" si="7"/>
        <v>1.9118893228373352E-3</v>
      </c>
      <c r="R29" s="105">
        <f t="shared" si="3"/>
        <v>16931.630487599999</v>
      </c>
      <c r="S29" s="106">
        <f t="shared" si="4"/>
        <v>3809.6168597099995</v>
      </c>
    </row>
    <row r="30" spans="2:19" x14ac:dyDescent="0.35">
      <c r="B30" t="s">
        <v>18</v>
      </c>
      <c r="C30" t="s">
        <v>34</v>
      </c>
      <c r="D30" s="13">
        <v>0.35</v>
      </c>
      <c r="E30" s="10">
        <v>19159.75</v>
      </c>
      <c r="F30" s="10">
        <v>1365.93</v>
      </c>
      <c r="G30" s="102">
        <f>E30*0.15</f>
        <v>2873.9625000000001</v>
      </c>
      <c r="H30" s="4">
        <f t="shared" si="10"/>
        <v>5.2183248039758691E-2</v>
      </c>
      <c r="J30" t="s">
        <v>16</v>
      </c>
      <c r="K30" t="s">
        <v>11</v>
      </c>
      <c r="L30" s="3">
        <f t="shared" si="0"/>
        <v>17</v>
      </c>
      <c r="M30" s="27">
        <f t="shared" si="1"/>
        <v>0.34</v>
      </c>
      <c r="N30" s="3">
        <f t="shared" si="5"/>
        <v>22.78</v>
      </c>
      <c r="O30" s="27">
        <f t="shared" si="2"/>
        <v>2.8500000000000001E-2</v>
      </c>
      <c r="P30" s="27">
        <f t="shared" si="6"/>
        <v>5.1672684401009063E-2</v>
      </c>
      <c r="Q30" s="27">
        <f t="shared" si="7"/>
        <v>1.4726715054287584E-3</v>
      </c>
      <c r="R30" s="105">
        <f t="shared" si="3"/>
        <v>12317.3798367</v>
      </c>
      <c r="S30" s="106">
        <f t="shared" si="4"/>
        <v>2771.4104632575004</v>
      </c>
    </row>
    <row r="31" spans="2:19" x14ac:dyDescent="0.35">
      <c r="B31" t="s">
        <v>16</v>
      </c>
      <c r="C31" t="s">
        <v>34</v>
      </c>
      <c r="D31" s="13">
        <v>0.34</v>
      </c>
      <c r="E31" s="10">
        <v>18972.289999999997</v>
      </c>
      <c r="F31" s="10">
        <v>1812.2399999999998</v>
      </c>
      <c r="G31" s="102">
        <f t="shared" si="11"/>
        <v>2845.8434999999995</v>
      </c>
      <c r="H31" s="4">
        <f t="shared" si="10"/>
        <v>5.1672684401009063E-2</v>
      </c>
      <c r="J31" t="s">
        <v>16</v>
      </c>
      <c r="K31" t="s">
        <v>5</v>
      </c>
      <c r="L31" s="3">
        <f t="shared" si="0"/>
        <v>19</v>
      </c>
      <c r="M31" s="27">
        <f t="shared" si="1"/>
        <v>0.34</v>
      </c>
      <c r="N31" s="3">
        <f t="shared" si="5"/>
        <v>25.46</v>
      </c>
      <c r="O31" s="27">
        <f t="shared" si="2"/>
        <v>1.1900000000000001E-2</v>
      </c>
      <c r="P31" s="27">
        <f t="shared" si="6"/>
        <v>5.1672684401009063E-2</v>
      </c>
      <c r="Q31" s="27">
        <f t="shared" si="7"/>
        <v>6.1490494437200789E-4</v>
      </c>
      <c r="R31" s="105">
        <f t="shared" si="3"/>
        <v>5748.1105904599999</v>
      </c>
      <c r="S31" s="106">
        <f t="shared" si="4"/>
        <v>1293.3248828535</v>
      </c>
    </row>
    <row r="32" spans="2:19" x14ac:dyDescent="0.35">
      <c r="B32" t="s">
        <v>17</v>
      </c>
      <c r="C32" t="s">
        <v>34</v>
      </c>
      <c r="D32" s="13">
        <v>0.35</v>
      </c>
      <c r="E32" s="10">
        <v>16471.000000000015</v>
      </c>
      <c r="F32" s="10">
        <v>1040.4000000000001</v>
      </c>
      <c r="G32" s="102">
        <f t="shared" si="11"/>
        <v>2470.6500000000019</v>
      </c>
      <c r="H32" s="4">
        <f t="shared" si="10"/>
        <v>4.4860203210525515E-2</v>
      </c>
      <c r="J32" t="s">
        <v>16</v>
      </c>
      <c r="K32" t="s">
        <v>7</v>
      </c>
      <c r="L32" s="3">
        <f t="shared" si="0"/>
        <v>20</v>
      </c>
      <c r="M32" s="27">
        <f t="shared" si="1"/>
        <v>0.34</v>
      </c>
      <c r="N32" s="3">
        <f t="shared" si="5"/>
        <v>26.8</v>
      </c>
      <c r="O32" s="27">
        <f t="shared" si="2"/>
        <v>3.0000000000000001E-3</v>
      </c>
      <c r="P32" s="27">
        <f t="shared" si="6"/>
        <v>5.1672684401009063E-2</v>
      </c>
      <c r="Q32" s="27">
        <f t="shared" si="7"/>
        <v>1.550180532030272E-4</v>
      </c>
      <c r="R32" s="105">
        <f t="shared" si="3"/>
        <v>1525.3721160000002</v>
      </c>
      <c r="S32" s="106">
        <f t="shared" si="4"/>
        <v>343.20872610000004</v>
      </c>
    </row>
    <row r="33" spans="2:19" x14ac:dyDescent="0.35">
      <c r="B33" t="s">
        <v>22</v>
      </c>
      <c r="C33" t="s">
        <v>34</v>
      </c>
      <c r="D33" s="13">
        <v>0.34</v>
      </c>
      <c r="E33" s="10">
        <v>14304.019999999999</v>
      </c>
      <c r="F33" s="10">
        <v>995.61999999999966</v>
      </c>
      <c r="G33" s="102">
        <f>E33*0.15</f>
        <v>2145.6029999999996</v>
      </c>
      <c r="H33" s="4">
        <f t="shared" si="10"/>
        <v>3.8958244425197047E-2</v>
      </c>
      <c r="J33" t="s">
        <v>16</v>
      </c>
      <c r="K33" t="s">
        <v>9</v>
      </c>
      <c r="L33" s="3">
        <f t="shared" si="0"/>
        <v>22</v>
      </c>
      <c r="M33" s="27">
        <f t="shared" si="1"/>
        <v>0.34</v>
      </c>
      <c r="N33" s="3">
        <f t="shared" si="5"/>
        <v>29.48</v>
      </c>
      <c r="O33" s="27">
        <f t="shared" si="2"/>
        <v>1.2999999999999999E-3</v>
      </c>
      <c r="P33" s="27">
        <f t="shared" si="6"/>
        <v>5.1672684401009063E-2</v>
      </c>
      <c r="Q33" s="27">
        <f t="shared" si="7"/>
        <v>6.7174489721311779E-5</v>
      </c>
      <c r="R33" s="105">
        <f t="shared" si="3"/>
        <v>727.09404195999991</v>
      </c>
      <c r="S33" s="106">
        <f t="shared" si="4"/>
        <v>163.596159441</v>
      </c>
    </row>
    <row r="34" spans="2:19" x14ac:dyDescent="0.35">
      <c r="B34" t="s">
        <v>19</v>
      </c>
      <c r="C34" t="s">
        <v>32</v>
      </c>
      <c r="D34" s="13">
        <v>0.38</v>
      </c>
      <c r="E34" s="101">
        <f>0.039*(SUM(E28:E33,E35:E40))</f>
        <v>13781.858609999999</v>
      </c>
      <c r="F34" s="101">
        <f>0.039*(SUM(F28:F33,F35:F40))</f>
        <v>1987.1217599999995</v>
      </c>
      <c r="G34" s="102">
        <f t="shared" si="11"/>
        <v>2067.2787914999999</v>
      </c>
      <c r="H34" s="4">
        <f t="shared" si="10"/>
        <v>3.7536092396535131E-2</v>
      </c>
      <c r="J34" t="s">
        <v>17</v>
      </c>
      <c r="K34" t="s">
        <v>10</v>
      </c>
      <c r="L34" s="3">
        <f t="shared" si="0"/>
        <v>15</v>
      </c>
      <c r="M34" s="27">
        <f t="shared" si="1"/>
        <v>0.35</v>
      </c>
      <c r="N34" s="3">
        <f t="shared" si="5"/>
        <v>20.25</v>
      </c>
      <c r="O34" s="27">
        <f t="shared" si="2"/>
        <v>0.39500000000000002</v>
      </c>
      <c r="P34" s="27">
        <f t="shared" si="6"/>
        <v>4.4860203210525515E-2</v>
      </c>
      <c r="Q34" s="27">
        <f t="shared" si="7"/>
        <v>1.771978026815758E-2</v>
      </c>
      <c r="R34" s="105">
        <f t="shared" si="3"/>
        <v>131747.41125000012</v>
      </c>
      <c r="S34" s="106">
        <f t="shared" si="4"/>
        <v>29643.167531250034</v>
      </c>
    </row>
    <row r="35" spans="2:19" x14ac:dyDescent="0.35">
      <c r="B35" t="s">
        <v>20</v>
      </c>
      <c r="C35" t="s">
        <v>34</v>
      </c>
      <c r="D35" s="13">
        <v>0.38</v>
      </c>
      <c r="E35" s="10">
        <v>12985.25</v>
      </c>
      <c r="F35" s="10">
        <v>1061.75</v>
      </c>
      <c r="G35" s="102">
        <f t="shared" si="11"/>
        <v>1947.7874999999999</v>
      </c>
      <c r="H35" s="4">
        <f t="shared" si="10"/>
        <v>3.5366459458410292E-2</v>
      </c>
      <c r="J35" t="s">
        <v>17</v>
      </c>
      <c r="K35" t="s">
        <v>4</v>
      </c>
      <c r="L35" s="3">
        <f t="shared" si="0"/>
        <v>14.5</v>
      </c>
      <c r="M35" s="27">
        <f t="shared" si="1"/>
        <v>0.35</v>
      </c>
      <c r="N35" s="3">
        <f t="shared" si="5"/>
        <v>19.575000000000003</v>
      </c>
      <c r="O35" s="27">
        <f t="shared" si="2"/>
        <v>0.34260000000000002</v>
      </c>
      <c r="P35" s="27">
        <f t="shared" si="6"/>
        <v>4.4860203210525515E-2</v>
      </c>
      <c r="Q35" s="27">
        <f t="shared" si="7"/>
        <v>1.5369105619926042E-2</v>
      </c>
      <c r="R35" s="105">
        <f t="shared" si="3"/>
        <v>110461.03204500013</v>
      </c>
      <c r="S35" s="106">
        <f t="shared" si="4"/>
        <v>24853.732210125032</v>
      </c>
    </row>
    <row r="36" spans="2:19" x14ac:dyDescent="0.35">
      <c r="B36" t="s">
        <v>25</v>
      </c>
      <c r="C36" t="s">
        <v>34</v>
      </c>
      <c r="D36" s="13">
        <v>0.4</v>
      </c>
      <c r="E36" s="10">
        <v>7469.53</v>
      </c>
      <c r="F36" s="10">
        <v>755.06000000000006</v>
      </c>
      <c r="G36" s="102">
        <f>E36*0.15</f>
        <v>1120.4295</v>
      </c>
      <c r="H36" s="4">
        <f t="shared" si="10"/>
        <v>2.0343915590256591E-2</v>
      </c>
      <c r="J36" t="s">
        <v>17</v>
      </c>
      <c r="K36" t="s">
        <v>3</v>
      </c>
      <c r="L36" s="3">
        <f t="shared" ref="L36:L67" si="12">VLOOKUP(K36,$B$14:$C$23,2,FALSE)</f>
        <v>16</v>
      </c>
      <c r="M36" s="27">
        <f t="shared" ref="M36:M67" si="13">VLOOKUP(J36,$B$28:$D$40,3,FALSE)</f>
        <v>0.35</v>
      </c>
      <c r="N36" s="3">
        <f t="shared" si="5"/>
        <v>21.6</v>
      </c>
      <c r="O36" s="27">
        <f t="shared" ref="O36:O67" si="14">VLOOKUP(K36,$B$14:$D$23,3,FALSE)</f>
        <v>8.5000000000000006E-2</v>
      </c>
      <c r="P36" s="27">
        <f t="shared" si="6"/>
        <v>4.4860203210525515E-2</v>
      </c>
      <c r="Q36" s="27">
        <f t="shared" si="7"/>
        <v>3.8131172728946691E-3</v>
      </c>
      <c r="R36" s="105">
        <f t="shared" ref="R36:R67" si="15">Q36*$C$3*N36</f>
        <v>30240.756000000034</v>
      </c>
      <c r="S36" s="106">
        <f t="shared" ref="S36:S67" si="16">Q36*$C$4*(1.5*N36)</f>
        <v>6804.1701000000085</v>
      </c>
    </row>
    <row r="37" spans="2:19" x14ac:dyDescent="0.35">
      <c r="B37" t="s">
        <v>23</v>
      </c>
      <c r="C37" t="s">
        <v>34</v>
      </c>
      <c r="D37" s="13">
        <v>0.38</v>
      </c>
      <c r="E37" s="10">
        <v>5409.9100000000026</v>
      </c>
      <c r="F37" s="10">
        <v>316.03999999999991</v>
      </c>
      <c r="G37" s="102">
        <f>E37*0.15</f>
        <v>811.48650000000032</v>
      </c>
      <c r="H37" s="4">
        <f t="shared" si="10"/>
        <v>1.4734361116547507E-2</v>
      </c>
      <c r="J37" t="s">
        <v>17</v>
      </c>
      <c r="K37" t="s">
        <v>29</v>
      </c>
      <c r="L37" s="3">
        <f t="shared" si="12"/>
        <v>17</v>
      </c>
      <c r="M37" s="27">
        <f t="shared" si="13"/>
        <v>0.35</v>
      </c>
      <c r="N37" s="3">
        <f t="shared" si="5"/>
        <v>22.950000000000003</v>
      </c>
      <c r="O37" s="27">
        <f t="shared" si="14"/>
        <v>4.8500000000000001E-2</v>
      </c>
      <c r="P37" s="27">
        <f t="shared" si="6"/>
        <v>4.4860203210525515E-2</v>
      </c>
      <c r="Q37" s="27">
        <f t="shared" si="7"/>
        <v>2.1757198557104877E-3</v>
      </c>
      <c r="R37" s="105">
        <f t="shared" si="15"/>
        <v>18333.458325000021</v>
      </c>
      <c r="S37" s="106">
        <f t="shared" si="16"/>
        <v>4125.0281231250046</v>
      </c>
    </row>
    <row r="38" spans="2:19" x14ac:dyDescent="0.35">
      <c r="B38" t="s">
        <v>8</v>
      </c>
      <c r="C38" t="s">
        <v>34</v>
      </c>
      <c r="D38" s="181">
        <v>0.33</v>
      </c>
      <c r="E38" s="117">
        <v>2794.3800000000006</v>
      </c>
      <c r="F38" s="117">
        <v>522</v>
      </c>
      <c r="G38" s="102">
        <f>E38*0.15</f>
        <v>419.1570000000001</v>
      </c>
      <c r="H38" s="182">
        <f t="shared" si="10"/>
        <v>7.610737335160476E-3</v>
      </c>
      <c r="J38" t="s">
        <v>17</v>
      </c>
      <c r="K38" t="s">
        <v>6</v>
      </c>
      <c r="L38" s="3">
        <f t="shared" si="12"/>
        <v>18</v>
      </c>
      <c r="M38" s="27">
        <f t="shared" si="13"/>
        <v>0.35</v>
      </c>
      <c r="N38" s="3">
        <f t="shared" si="5"/>
        <v>24.3</v>
      </c>
      <c r="O38" s="27">
        <f t="shared" si="14"/>
        <v>4.7199999999999999E-2</v>
      </c>
      <c r="P38" s="27">
        <f t="shared" si="6"/>
        <v>4.4860203210525515E-2</v>
      </c>
      <c r="Q38" s="27">
        <f t="shared" si="7"/>
        <v>2.1174015915368044E-3</v>
      </c>
      <c r="R38" s="105">
        <f t="shared" si="15"/>
        <v>18891.578160000019</v>
      </c>
      <c r="S38" s="106">
        <f t="shared" si="16"/>
        <v>4250.605086000005</v>
      </c>
    </row>
    <row r="39" spans="2:19" x14ac:dyDescent="0.35">
      <c r="B39" s="123" t="s">
        <v>24</v>
      </c>
      <c r="C39" s="123" t="s">
        <v>34</v>
      </c>
      <c r="D39" s="183">
        <v>0.37</v>
      </c>
      <c r="E39" s="117">
        <v>1424.1900000000003</v>
      </c>
      <c r="F39" s="117">
        <v>99.65</v>
      </c>
      <c r="G39" s="102">
        <f>E39*0.15</f>
        <v>213.62850000000003</v>
      </c>
      <c r="H39" s="182">
        <f t="shared" si="10"/>
        <v>3.8789055194219106E-3</v>
      </c>
      <c r="J39" t="s">
        <v>17</v>
      </c>
      <c r="K39" t="s">
        <v>30</v>
      </c>
      <c r="L39" s="3">
        <f t="shared" si="12"/>
        <v>18</v>
      </c>
      <c r="M39" s="27">
        <f t="shared" si="13"/>
        <v>0.35</v>
      </c>
      <c r="N39" s="3">
        <f t="shared" si="5"/>
        <v>24.3</v>
      </c>
      <c r="O39" s="27">
        <f t="shared" si="14"/>
        <v>3.6999999999999998E-2</v>
      </c>
      <c r="P39" s="27">
        <f t="shared" si="6"/>
        <v>4.4860203210525515E-2</v>
      </c>
      <c r="Q39" s="27">
        <f t="shared" si="7"/>
        <v>1.6598275187894439E-3</v>
      </c>
      <c r="R39" s="105">
        <f t="shared" si="15"/>
        <v>14809.076100000011</v>
      </c>
      <c r="S39" s="106">
        <f t="shared" si="16"/>
        <v>3332.0421225000036</v>
      </c>
    </row>
    <row r="40" spans="2:19" x14ac:dyDescent="0.35">
      <c r="B40" s="50" t="s">
        <v>21</v>
      </c>
      <c r="C40" s="50" t="s">
        <v>34</v>
      </c>
      <c r="D40" s="184">
        <v>0.4</v>
      </c>
      <c r="E40" s="17">
        <v>1127.5</v>
      </c>
      <c r="F40" s="17">
        <v>459</v>
      </c>
      <c r="G40" s="103">
        <f t="shared" si="11"/>
        <v>169.125</v>
      </c>
      <c r="H40" s="19">
        <f t="shared" si="10"/>
        <v>3.0708444611661388E-3</v>
      </c>
      <c r="J40" t="s">
        <v>17</v>
      </c>
      <c r="K40" t="s">
        <v>11</v>
      </c>
      <c r="L40" s="3">
        <f t="shared" si="12"/>
        <v>17</v>
      </c>
      <c r="M40" s="27">
        <f t="shared" si="13"/>
        <v>0.35</v>
      </c>
      <c r="N40" s="3">
        <f t="shared" si="5"/>
        <v>22.950000000000003</v>
      </c>
      <c r="O40" s="27">
        <f t="shared" si="14"/>
        <v>2.8500000000000001E-2</v>
      </c>
      <c r="P40" s="27">
        <f t="shared" si="6"/>
        <v>4.4860203210525515E-2</v>
      </c>
      <c r="Q40" s="27">
        <f t="shared" si="7"/>
        <v>1.2785157914999771E-3</v>
      </c>
      <c r="R40" s="105">
        <f t="shared" si="15"/>
        <v>10773.26932500001</v>
      </c>
      <c r="S40" s="106">
        <f t="shared" si="16"/>
        <v>2423.9855981250025</v>
      </c>
    </row>
    <row r="41" spans="2:19" x14ac:dyDescent="0.35">
      <c r="D41" s="20" t="s">
        <v>13</v>
      </c>
      <c r="E41" s="11">
        <f>SUM(E28:E40)</f>
        <v>367162.84860999999</v>
      </c>
      <c r="F41" s="11">
        <f>SUM(F28:F40)</f>
        <v>52938.961759999991</v>
      </c>
      <c r="G41" s="185">
        <f>SUM(G28:G40)</f>
        <v>55074.427291500004</v>
      </c>
      <c r="H41" s="18">
        <f t="shared" si="10"/>
        <v>1</v>
      </c>
      <c r="J41" t="s">
        <v>17</v>
      </c>
      <c r="K41" t="s">
        <v>5</v>
      </c>
      <c r="L41" s="3">
        <f t="shared" si="12"/>
        <v>19</v>
      </c>
      <c r="M41" s="27">
        <f t="shared" si="13"/>
        <v>0.35</v>
      </c>
      <c r="N41" s="3">
        <f t="shared" si="5"/>
        <v>25.650000000000002</v>
      </c>
      <c r="O41" s="27">
        <f t="shared" si="14"/>
        <v>1.1900000000000001E-2</v>
      </c>
      <c r="P41" s="27">
        <f t="shared" si="6"/>
        <v>4.4860203210525515E-2</v>
      </c>
      <c r="Q41" s="27">
        <f t="shared" si="7"/>
        <v>5.3383641820525362E-4</v>
      </c>
      <c r="R41" s="105">
        <f t="shared" si="15"/>
        <v>5027.5256850000042</v>
      </c>
      <c r="S41" s="106">
        <f t="shared" si="16"/>
        <v>1131.1932791250013</v>
      </c>
    </row>
    <row r="42" spans="2:19" x14ac:dyDescent="0.35">
      <c r="B42" s="104" t="s">
        <v>37</v>
      </c>
      <c r="J42" t="s">
        <v>17</v>
      </c>
      <c r="K42" t="s">
        <v>7</v>
      </c>
      <c r="L42" s="3">
        <f t="shared" si="12"/>
        <v>20</v>
      </c>
      <c r="M42" s="27">
        <f t="shared" si="13"/>
        <v>0.35</v>
      </c>
      <c r="N42" s="3">
        <f t="shared" si="5"/>
        <v>27</v>
      </c>
      <c r="O42" s="27">
        <f t="shared" si="14"/>
        <v>3.0000000000000001E-3</v>
      </c>
      <c r="P42" s="27">
        <f t="shared" si="6"/>
        <v>4.4860203210525515E-2</v>
      </c>
      <c r="Q42" s="27">
        <f t="shared" si="7"/>
        <v>1.3458060963157656E-4</v>
      </c>
      <c r="R42" s="105">
        <f t="shared" si="15"/>
        <v>1334.1510000000014</v>
      </c>
      <c r="S42" s="106">
        <f t="shared" si="16"/>
        <v>300.18397500000032</v>
      </c>
    </row>
    <row r="43" spans="2:19" x14ac:dyDescent="0.35">
      <c r="B43" s="16" t="s">
        <v>66</v>
      </c>
      <c r="G43" s="10"/>
      <c r="J43" t="s">
        <v>17</v>
      </c>
      <c r="K43" t="s">
        <v>9</v>
      </c>
      <c r="L43" s="3">
        <f t="shared" si="12"/>
        <v>22</v>
      </c>
      <c r="M43" s="27">
        <f t="shared" si="13"/>
        <v>0.35</v>
      </c>
      <c r="N43" s="3">
        <f t="shared" si="5"/>
        <v>29.700000000000003</v>
      </c>
      <c r="O43" s="27">
        <f t="shared" si="14"/>
        <v>1.2999999999999999E-3</v>
      </c>
      <c r="P43" s="27">
        <f t="shared" si="6"/>
        <v>4.4860203210525515E-2</v>
      </c>
      <c r="Q43" s="27">
        <f t="shared" si="7"/>
        <v>5.8318264173683166E-5</v>
      </c>
      <c r="R43" s="105">
        <f t="shared" si="15"/>
        <v>635.94531000000063</v>
      </c>
      <c r="S43" s="106">
        <f t="shared" si="16"/>
        <v>143.08769475000014</v>
      </c>
    </row>
    <row r="44" spans="2:19" x14ac:dyDescent="0.35">
      <c r="B44" s="16" t="s">
        <v>35</v>
      </c>
      <c r="J44" t="s">
        <v>18</v>
      </c>
      <c r="K44" t="s">
        <v>10</v>
      </c>
      <c r="L44" s="3">
        <f t="shared" si="12"/>
        <v>15</v>
      </c>
      <c r="M44" s="27">
        <f t="shared" si="13"/>
        <v>0.35</v>
      </c>
      <c r="N44" s="3">
        <f t="shared" si="5"/>
        <v>20.25</v>
      </c>
      <c r="O44" s="27">
        <f t="shared" si="14"/>
        <v>0.39500000000000002</v>
      </c>
      <c r="P44" s="27">
        <f t="shared" si="6"/>
        <v>5.2183248039758691E-2</v>
      </c>
      <c r="Q44" s="27">
        <f t="shared" si="7"/>
        <v>2.0612382975704682E-2</v>
      </c>
      <c r="R44" s="105">
        <f t="shared" si="15"/>
        <v>153254.05031249998</v>
      </c>
      <c r="S44" s="106">
        <f t="shared" si="16"/>
        <v>34482.161320312502</v>
      </c>
    </row>
    <row r="45" spans="2:19" x14ac:dyDescent="0.35">
      <c r="B45" s="16" t="s">
        <v>28</v>
      </c>
      <c r="J45" t="s">
        <v>18</v>
      </c>
      <c r="K45" t="s">
        <v>4</v>
      </c>
      <c r="L45" s="3">
        <f t="shared" si="12"/>
        <v>14.5</v>
      </c>
      <c r="M45" s="27">
        <f t="shared" si="13"/>
        <v>0.35</v>
      </c>
      <c r="N45" s="3">
        <f t="shared" si="5"/>
        <v>19.575000000000003</v>
      </c>
      <c r="O45" s="27">
        <f t="shared" si="14"/>
        <v>0.34260000000000002</v>
      </c>
      <c r="P45" s="27">
        <f t="shared" si="6"/>
        <v>5.2183248039758691E-2</v>
      </c>
      <c r="Q45" s="27">
        <f t="shared" si="7"/>
        <v>1.7877980778421329E-2</v>
      </c>
      <c r="R45" s="105">
        <f t="shared" si="15"/>
        <v>128492.85160125002</v>
      </c>
      <c r="S45" s="106">
        <f t="shared" si="16"/>
        <v>28910.891610281258</v>
      </c>
    </row>
    <row r="46" spans="2:19" x14ac:dyDescent="0.35">
      <c r="B46" s="16" t="s">
        <v>56</v>
      </c>
      <c r="J46" t="s">
        <v>18</v>
      </c>
      <c r="K46" t="s">
        <v>3</v>
      </c>
      <c r="L46" s="3">
        <f t="shared" si="12"/>
        <v>16</v>
      </c>
      <c r="M46" s="27">
        <f t="shared" si="13"/>
        <v>0.35</v>
      </c>
      <c r="N46" s="3">
        <f t="shared" si="5"/>
        <v>21.6</v>
      </c>
      <c r="O46" s="27">
        <f t="shared" si="14"/>
        <v>8.5000000000000006E-2</v>
      </c>
      <c r="P46" s="27">
        <f t="shared" si="6"/>
        <v>5.2183248039758691E-2</v>
      </c>
      <c r="Q46" s="27">
        <f t="shared" si="7"/>
        <v>4.4355760833794892E-3</v>
      </c>
      <c r="R46" s="105">
        <f t="shared" si="15"/>
        <v>35177.301000000007</v>
      </c>
      <c r="S46" s="106">
        <f t="shared" si="16"/>
        <v>7914.8927250000024</v>
      </c>
    </row>
    <row r="47" spans="2:19" x14ac:dyDescent="0.35">
      <c r="J47" t="s">
        <v>18</v>
      </c>
      <c r="K47" t="s">
        <v>29</v>
      </c>
      <c r="L47" s="3">
        <f t="shared" si="12"/>
        <v>17</v>
      </c>
      <c r="M47" s="27">
        <f t="shared" si="13"/>
        <v>0.35</v>
      </c>
      <c r="N47" s="3">
        <f t="shared" si="5"/>
        <v>22.950000000000003</v>
      </c>
      <c r="O47" s="27">
        <f t="shared" si="14"/>
        <v>4.8500000000000001E-2</v>
      </c>
      <c r="P47" s="27">
        <f t="shared" si="6"/>
        <v>5.2183248039758691E-2</v>
      </c>
      <c r="Q47" s="27">
        <f t="shared" si="7"/>
        <v>2.5308875299282965E-3</v>
      </c>
      <c r="R47" s="105">
        <f t="shared" si="15"/>
        <v>21326.23873125</v>
      </c>
      <c r="S47" s="106">
        <f t="shared" si="16"/>
        <v>4798.4037145312504</v>
      </c>
    </row>
    <row r="48" spans="2:19" x14ac:dyDescent="0.35">
      <c r="J48" t="s">
        <v>18</v>
      </c>
      <c r="K48" t="s">
        <v>6</v>
      </c>
      <c r="L48" s="3">
        <f t="shared" si="12"/>
        <v>18</v>
      </c>
      <c r="M48" s="27">
        <f t="shared" si="13"/>
        <v>0.35</v>
      </c>
      <c r="N48" s="3">
        <f t="shared" si="5"/>
        <v>24.3</v>
      </c>
      <c r="O48" s="27">
        <f t="shared" si="14"/>
        <v>4.7199999999999999E-2</v>
      </c>
      <c r="P48" s="27">
        <f t="shared" si="6"/>
        <v>5.2183248039758691E-2</v>
      </c>
      <c r="Q48" s="27">
        <f t="shared" si="7"/>
        <v>2.4630493074766103E-3</v>
      </c>
      <c r="R48" s="105">
        <f t="shared" si="15"/>
        <v>21975.46686</v>
      </c>
      <c r="S48" s="106">
        <f t="shared" si="16"/>
        <v>4944.4800435000016</v>
      </c>
    </row>
    <row r="49" spans="10:19" x14ac:dyDescent="0.35">
      <c r="J49" t="s">
        <v>18</v>
      </c>
      <c r="K49" t="s">
        <v>30</v>
      </c>
      <c r="L49" s="3">
        <f t="shared" si="12"/>
        <v>18</v>
      </c>
      <c r="M49" s="27">
        <f t="shared" si="13"/>
        <v>0.35</v>
      </c>
      <c r="N49" s="3">
        <f t="shared" si="5"/>
        <v>24.3</v>
      </c>
      <c r="O49" s="27">
        <f t="shared" si="14"/>
        <v>3.6999999999999998E-2</v>
      </c>
      <c r="P49" s="27">
        <f t="shared" si="6"/>
        <v>5.2183248039758691E-2</v>
      </c>
      <c r="Q49" s="27">
        <f t="shared" si="7"/>
        <v>1.9307801774710715E-3</v>
      </c>
      <c r="R49" s="105">
        <f t="shared" si="15"/>
        <v>17226.531224999999</v>
      </c>
      <c r="S49" s="106">
        <f t="shared" si="16"/>
        <v>3875.9695256250002</v>
      </c>
    </row>
    <row r="50" spans="10:19" x14ac:dyDescent="0.35">
      <c r="J50" t="s">
        <v>18</v>
      </c>
      <c r="K50" t="s">
        <v>11</v>
      </c>
      <c r="L50" s="3">
        <f t="shared" si="12"/>
        <v>17</v>
      </c>
      <c r="M50" s="27">
        <f t="shared" si="13"/>
        <v>0.35</v>
      </c>
      <c r="N50" s="3">
        <f t="shared" si="5"/>
        <v>22.950000000000003</v>
      </c>
      <c r="O50" s="27">
        <f t="shared" si="14"/>
        <v>2.8500000000000001E-2</v>
      </c>
      <c r="P50" s="27">
        <f t="shared" si="6"/>
        <v>5.2183248039758691E-2</v>
      </c>
      <c r="Q50" s="27">
        <f t="shared" si="7"/>
        <v>1.4872225691331226E-3</v>
      </c>
      <c r="R50" s="105">
        <f t="shared" si="15"/>
        <v>12531.913481250001</v>
      </c>
      <c r="S50" s="106">
        <f t="shared" si="16"/>
        <v>2819.6805332812505</v>
      </c>
    </row>
    <row r="51" spans="10:19" x14ac:dyDescent="0.35">
      <c r="J51" t="s">
        <v>18</v>
      </c>
      <c r="K51" t="s">
        <v>5</v>
      </c>
      <c r="L51" s="3">
        <f t="shared" si="12"/>
        <v>19</v>
      </c>
      <c r="M51" s="27">
        <f t="shared" si="13"/>
        <v>0.35</v>
      </c>
      <c r="N51" s="3">
        <f t="shared" si="5"/>
        <v>25.650000000000002</v>
      </c>
      <c r="O51" s="27">
        <f t="shared" si="14"/>
        <v>1.1900000000000001E-2</v>
      </c>
      <c r="P51" s="27">
        <f t="shared" si="6"/>
        <v>5.2183248039758691E-2</v>
      </c>
      <c r="Q51" s="27">
        <f t="shared" si="7"/>
        <v>6.2098065167312847E-4</v>
      </c>
      <c r="R51" s="105">
        <f t="shared" si="15"/>
        <v>5848.22629125</v>
      </c>
      <c r="S51" s="106">
        <f t="shared" si="16"/>
        <v>1315.8509155312502</v>
      </c>
    </row>
    <row r="52" spans="10:19" x14ac:dyDescent="0.35">
      <c r="J52" t="s">
        <v>18</v>
      </c>
      <c r="K52" t="s">
        <v>7</v>
      </c>
      <c r="L52" s="3">
        <f t="shared" si="12"/>
        <v>20</v>
      </c>
      <c r="M52" s="27">
        <f t="shared" si="13"/>
        <v>0.35</v>
      </c>
      <c r="N52" s="3">
        <f t="shared" si="5"/>
        <v>27</v>
      </c>
      <c r="O52" s="27">
        <f t="shared" si="14"/>
        <v>3.0000000000000001E-3</v>
      </c>
      <c r="P52" s="27">
        <f t="shared" si="6"/>
        <v>5.2183248039758691E-2</v>
      </c>
      <c r="Q52" s="27">
        <f t="shared" si="7"/>
        <v>1.5654974411927607E-4</v>
      </c>
      <c r="R52" s="105">
        <f t="shared" si="15"/>
        <v>1551.9397499999998</v>
      </c>
      <c r="S52" s="106">
        <f t="shared" si="16"/>
        <v>349.18644374999997</v>
      </c>
    </row>
    <row r="53" spans="10:19" x14ac:dyDescent="0.35">
      <c r="J53" t="s">
        <v>18</v>
      </c>
      <c r="K53" t="s">
        <v>9</v>
      </c>
      <c r="L53" s="3">
        <f t="shared" si="12"/>
        <v>22</v>
      </c>
      <c r="M53" s="27">
        <f t="shared" si="13"/>
        <v>0.35</v>
      </c>
      <c r="N53" s="3">
        <f t="shared" si="5"/>
        <v>29.700000000000003</v>
      </c>
      <c r="O53" s="27">
        <f t="shared" si="14"/>
        <v>1.2999999999999999E-3</v>
      </c>
      <c r="P53" s="27">
        <f t="shared" si="6"/>
        <v>5.2183248039758691E-2</v>
      </c>
      <c r="Q53" s="27">
        <f t="shared" si="7"/>
        <v>6.78382224516863E-5</v>
      </c>
      <c r="R53" s="105">
        <f t="shared" si="15"/>
        <v>739.7579475</v>
      </c>
      <c r="S53" s="106">
        <f t="shared" si="16"/>
        <v>166.44553818750003</v>
      </c>
    </row>
    <row r="54" spans="10:19" x14ac:dyDescent="0.35">
      <c r="J54" t="s">
        <v>19</v>
      </c>
      <c r="K54" t="s">
        <v>10</v>
      </c>
      <c r="L54" s="3">
        <f t="shared" si="12"/>
        <v>15</v>
      </c>
      <c r="M54" s="27">
        <f t="shared" si="13"/>
        <v>0.38</v>
      </c>
      <c r="N54" s="3">
        <f t="shared" si="5"/>
        <v>20.7</v>
      </c>
      <c r="O54" s="27">
        <f t="shared" si="14"/>
        <v>0.39500000000000002</v>
      </c>
      <c r="P54" s="27">
        <f t="shared" si="6"/>
        <v>3.7536092396535131E-2</v>
      </c>
      <c r="Q54" s="27">
        <f t="shared" si="7"/>
        <v>1.4826756496631378E-2</v>
      </c>
      <c r="R54" s="105">
        <f t="shared" si="15"/>
        <v>112687.36692466501</v>
      </c>
      <c r="S54" s="106">
        <f t="shared" si="16"/>
        <v>25354.657558049628</v>
      </c>
    </row>
    <row r="55" spans="10:19" x14ac:dyDescent="0.35">
      <c r="J55" t="s">
        <v>19</v>
      </c>
      <c r="K55" t="s">
        <v>4</v>
      </c>
      <c r="L55" s="3">
        <f t="shared" si="12"/>
        <v>14.5</v>
      </c>
      <c r="M55" s="27">
        <f t="shared" si="13"/>
        <v>0.38</v>
      </c>
      <c r="N55" s="3">
        <f t="shared" si="5"/>
        <v>20.009999999999998</v>
      </c>
      <c r="O55" s="27">
        <f t="shared" si="14"/>
        <v>0.34260000000000002</v>
      </c>
      <c r="P55" s="27">
        <f t="shared" si="6"/>
        <v>3.7536092396535131E-2</v>
      </c>
      <c r="Q55" s="27">
        <f t="shared" si="7"/>
        <v>1.2859865255052937E-2</v>
      </c>
      <c r="R55" s="105">
        <f t="shared" si="15"/>
        <v>94480.511843317858</v>
      </c>
      <c r="S55" s="106">
        <f t="shared" si="16"/>
        <v>21258.115164746519</v>
      </c>
    </row>
    <row r="56" spans="10:19" x14ac:dyDescent="0.35">
      <c r="J56" t="s">
        <v>19</v>
      </c>
      <c r="K56" t="s">
        <v>3</v>
      </c>
      <c r="L56" s="3">
        <f t="shared" si="12"/>
        <v>16</v>
      </c>
      <c r="M56" s="27">
        <f t="shared" si="13"/>
        <v>0.38</v>
      </c>
      <c r="N56" s="3">
        <f t="shared" si="5"/>
        <v>22.08</v>
      </c>
      <c r="O56" s="27">
        <f t="shared" si="14"/>
        <v>8.5000000000000006E-2</v>
      </c>
      <c r="P56" s="27">
        <f t="shared" si="6"/>
        <v>3.7536092396535131E-2</v>
      </c>
      <c r="Q56" s="27">
        <f t="shared" si="7"/>
        <v>3.1905678537054866E-3</v>
      </c>
      <c r="R56" s="105">
        <f t="shared" si="15"/>
        <v>25865.792239248</v>
      </c>
      <c r="S56" s="106">
        <f t="shared" si="16"/>
        <v>5819.8032538308007</v>
      </c>
    </row>
    <row r="57" spans="10:19" x14ac:dyDescent="0.35">
      <c r="J57" t="s">
        <v>19</v>
      </c>
      <c r="K57" t="s">
        <v>29</v>
      </c>
      <c r="L57" s="3">
        <f t="shared" si="12"/>
        <v>17</v>
      </c>
      <c r="M57" s="27">
        <f t="shared" si="13"/>
        <v>0.38</v>
      </c>
      <c r="N57" s="3">
        <f t="shared" si="5"/>
        <v>23.459999999999997</v>
      </c>
      <c r="O57" s="27">
        <f t="shared" si="14"/>
        <v>4.8500000000000001E-2</v>
      </c>
      <c r="P57" s="27">
        <f t="shared" si="6"/>
        <v>3.7536092396535131E-2</v>
      </c>
      <c r="Q57" s="27">
        <f t="shared" si="7"/>
        <v>1.8205004812319539E-3</v>
      </c>
      <c r="R57" s="105">
        <f t="shared" si="15"/>
        <v>15681.136545044099</v>
      </c>
      <c r="S57" s="106">
        <f t="shared" si="16"/>
        <v>3528.2557226349227</v>
      </c>
    </row>
    <row r="58" spans="10:19" x14ac:dyDescent="0.35">
      <c r="J58" t="s">
        <v>19</v>
      </c>
      <c r="K58" t="s">
        <v>6</v>
      </c>
      <c r="L58" s="3">
        <f t="shared" si="12"/>
        <v>18</v>
      </c>
      <c r="M58" s="27">
        <f t="shared" si="13"/>
        <v>0.38</v>
      </c>
      <c r="N58" s="3">
        <f t="shared" si="5"/>
        <v>24.839999999999996</v>
      </c>
      <c r="O58" s="27">
        <f t="shared" si="14"/>
        <v>4.7199999999999999E-2</v>
      </c>
      <c r="P58" s="27">
        <f t="shared" si="6"/>
        <v>3.7536092396535131E-2</v>
      </c>
      <c r="Q58" s="27">
        <f t="shared" si="7"/>
        <v>1.7717035611164581E-3</v>
      </c>
      <c r="R58" s="105">
        <f t="shared" si="15"/>
        <v>16158.512563577277</v>
      </c>
      <c r="S58" s="106">
        <f t="shared" si="16"/>
        <v>3635.6653268048872</v>
      </c>
    </row>
    <row r="59" spans="10:19" x14ac:dyDescent="0.35">
      <c r="J59" t="s">
        <v>19</v>
      </c>
      <c r="K59" t="s">
        <v>30</v>
      </c>
      <c r="L59" s="3">
        <f t="shared" si="12"/>
        <v>18</v>
      </c>
      <c r="M59" s="27">
        <f t="shared" si="13"/>
        <v>0.38</v>
      </c>
      <c r="N59" s="3">
        <f t="shared" si="5"/>
        <v>24.839999999999996</v>
      </c>
      <c r="O59" s="27">
        <f t="shared" si="14"/>
        <v>3.6999999999999998E-2</v>
      </c>
      <c r="P59" s="27">
        <f t="shared" si="6"/>
        <v>3.7536092396535131E-2</v>
      </c>
      <c r="Q59" s="27">
        <f t="shared" si="7"/>
        <v>1.3888354186717999E-3</v>
      </c>
      <c r="R59" s="105">
        <f t="shared" si="15"/>
        <v>12666.630611278797</v>
      </c>
      <c r="S59" s="106">
        <f t="shared" si="16"/>
        <v>2849.9918875377298</v>
      </c>
    </row>
    <row r="60" spans="10:19" x14ac:dyDescent="0.35">
      <c r="J60" t="s">
        <v>19</v>
      </c>
      <c r="K60" t="s">
        <v>11</v>
      </c>
      <c r="L60" s="3">
        <f t="shared" si="12"/>
        <v>17</v>
      </c>
      <c r="M60" s="27">
        <f t="shared" si="13"/>
        <v>0.38</v>
      </c>
      <c r="N60" s="3">
        <f t="shared" si="5"/>
        <v>23.459999999999997</v>
      </c>
      <c r="O60" s="27">
        <f t="shared" si="14"/>
        <v>2.8500000000000001E-2</v>
      </c>
      <c r="P60" s="27">
        <f t="shared" si="6"/>
        <v>3.7536092396535131E-2</v>
      </c>
      <c r="Q60" s="27">
        <f t="shared" si="7"/>
        <v>1.0697786333012512E-3</v>
      </c>
      <c r="R60" s="105">
        <f t="shared" si="15"/>
        <v>9214.6884852320982</v>
      </c>
      <c r="S60" s="106">
        <f t="shared" si="16"/>
        <v>2073.3049091772227</v>
      </c>
    </row>
    <row r="61" spans="10:19" x14ac:dyDescent="0.35">
      <c r="J61" t="s">
        <v>19</v>
      </c>
      <c r="K61" t="s">
        <v>5</v>
      </c>
      <c r="L61" s="3">
        <f t="shared" si="12"/>
        <v>19</v>
      </c>
      <c r="M61" s="27">
        <f t="shared" si="13"/>
        <v>0.38</v>
      </c>
      <c r="N61" s="3">
        <f t="shared" si="5"/>
        <v>26.22</v>
      </c>
      <c r="O61" s="27">
        <f t="shared" si="14"/>
        <v>1.1900000000000001E-2</v>
      </c>
      <c r="P61" s="27">
        <f t="shared" si="6"/>
        <v>3.7536092396535131E-2</v>
      </c>
      <c r="Q61" s="27">
        <f t="shared" si="7"/>
        <v>4.466794995187681E-4</v>
      </c>
      <c r="R61" s="105">
        <f t="shared" si="15"/>
        <v>4300.1879597749803</v>
      </c>
      <c r="S61" s="106">
        <f t="shared" si="16"/>
        <v>967.54229094937068</v>
      </c>
    </row>
    <row r="62" spans="10:19" x14ac:dyDescent="0.35">
      <c r="J62" t="s">
        <v>19</v>
      </c>
      <c r="K62" t="s">
        <v>7</v>
      </c>
      <c r="L62" s="3">
        <f t="shared" si="12"/>
        <v>20</v>
      </c>
      <c r="M62" s="27">
        <f t="shared" si="13"/>
        <v>0.38</v>
      </c>
      <c r="N62" s="3">
        <f t="shared" si="5"/>
        <v>27.599999999999998</v>
      </c>
      <c r="O62" s="27">
        <f t="shared" si="14"/>
        <v>3.0000000000000001E-3</v>
      </c>
      <c r="P62" s="27">
        <f t="shared" si="6"/>
        <v>3.7536092396535131E-2</v>
      </c>
      <c r="Q62" s="27">
        <f t="shared" si="7"/>
        <v>1.1260827718960539E-4</v>
      </c>
      <c r="R62" s="105">
        <f t="shared" si="15"/>
        <v>1141.1378929079999</v>
      </c>
      <c r="S62" s="106">
        <f t="shared" si="16"/>
        <v>256.75602590430003</v>
      </c>
    </row>
    <row r="63" spans="10:19" x14ac:dyDescent="0.35">
      <c r="J63" t="s">
        <v>19</v>
      </c>
      <c r="K63" t="s">
        <v>9</v>
      </c>
      <c r="L63" s="3">
        <f t="shared" si="12"/>
        <v>22</v>
      </c>
      <c r="M63" s="27">
        <f t="shared" si="13"/>
        <v>0.38</v>
      </c>
      <c r="N63" s="3">
        <f t="shared" si="5"/>
        <v>30.36</v>
      </c>
      <c r="O63" s="27">
        <f t="shared" si="14"/>
        <v>1.2999999999999999E-3</v>
      </c>
      <c r="P63" s="27">
        <f t="shared" si="6"/>
        <v>3.7536092396535131E-2</v>
      </c>
      <c r="Q63" s="27">
        <f t="shared" si="7"/>
        <v>4.8796920115495668E-5</v>
      </c>
      <c r="R63" s="105">
        <f t="shared" si="15"/>
        <v>543.94239561947995</v>
      </c>
      <c r="S63" s="106">
        <f t="shared" si="16"/>
        <v>122.38703901438299</v>
      </c>
    </row>
    <row r="64" spans="10:19" x14ac:dyDescent="0.35">
      <c r="J64" t="s">
        <v>20</v>
      </c>
      <c r="K64" t="s">
        <v>10</v>
      </c>
      <c r="L64" s="3">
        <f t="shared" si="12"/>
        <v>15</v>
      </c>
      <c r="M64" s="27">
        <f t="shared" si="13"/>
        <v>0.38</v>
      </c>
      <c r="N64" s="3">
        <f t="shared" si="5"/>
        <v>20.7</v>
      </c>
      <c r="O64" s="27">
        <f t="shared" si="14"/>
        <v>0.39500000000000002</v>
      </c>
      <c r="P64" s="27">
        <f t="shared" si="6"/>
        <v>3.5366459458410292E-2</v>
      </c>
      <c r="Q64" s="27">
        <f t="shared" si="7"/>
        <v>1.3969751486072065E-2</v>
      </c>
      <c r="R64" s="105">
        <f t="shared" si="15"/>
        <v>106173.89662499999</v>
      </c>
      <c r="S64" s="106">
        <f t="shared" si="16"/>
        <v>23889.126740625001</v>
      </c>
    </row>
    <row r="65" spans="10:19" x14ac:dyDescent="0.35">
      <c r="J65" t="s">
        <v>20</v>
      </c>
      <c r="K65" t="s">
        <v>4</v>
      </c>
      <c r="L65" s="3">
        <f t="shared" si="12"/>
        <v>14.5</v>
      </c>
      <c r="M65" s="27">
        <f t="shared" si="13"/>
        <v>0.38</v>
      </c>
      <c r="N65" s="3">
        <f t="shared" si="5"/>
        <v>20.009999999999998</v>
      </c>
      <c r="O65" s="27">
        <f t="shared" si="14"/>
        <v>0.34260000000000002</v>
      </c>
      <c r="P65" s="27">
        <f t="shared" si="6"/>
        <v>3.5366459458410292E-2</v>
      </c>
      <c r="Q65" s="27">
        <f t="shared" si="7"/>
        <v>1.2116549010451366E-2</v>
      </c>
      <c r="R65" s="105">
        <f t="shared" si="15"/>
        <v>89019.420466499985</v>
      </c>
      <c r="S65" s="106">
        <f t="shared" si="16"/>
        <v>20029.3696049625</v>
      </c>
    </row>
    <row r="66" spans="10:19" x14ac:dyDescent="0.35">
      <c r="J66" t="s">
        <v>20</v>
      </c>
      <c r="K66" t="s">
        <v>3</v>
      </c>
      <c r="L66" s="3">
        <f t="shared" si="12"/>
        <v>16</v>
      </c>
      <c r="M66" s="27">
        <f t="shared" si="13"/>
        <v>0.38</v>
      </c>
      <c r="N66" s="3">
        <f t="shared" si="5"/>
        <v>22.08</v>
      </c>
      <c r="O66" s="27">
        <f t="shared" si="14"/>
        <v>8.5000000000000006E-2</v>
      </c>
      <c r="P66" s="27">
        <f t="shared" si="6"/>
        <v>3.5366459458410292E-2</v>
      </c>
      <c r="Q66" s="27">
        <f t="shared" si="7"/>
        <v>3.0061490539648752E-3</v>
      </c>
      <c r="R66" s="105">
        <f t="shared" si="15"/>
        <v>24370.717200000003</v>
      </c>
      <c r="S66" s="106">
        <f t="shared" si="16"/>
        <v>5483.4113700000007</v>
      </c>
    </row>
    <row r="67" spans="10:19" x14ac:dyDescent="0.35">
      <c r="J67" t="s">
        <v>20</v>
      </c>
      <c r="K67" t="s">
        <v>29</v>
      </c>
      <c r="L67" s="3">
        <f t="shared" si="12"/>
        <v>17</v>
      </c>
      <c r="M67" s="27">
        <f t="shared" si="13"/>
        <v>0.38</v>
      </c>
      <c r="N67" s="3">
        <f t="shared" si="5"/>
        <v>23.459999999999997</v>
      </c>
      <c r="O67" s="27">
        <f t="shared" si="14"/>
        <v>4.8500000000000001E-2</v>
      </c>
      <c r="P67" s="27">
        <f t="shared" si="6"/>
        <v>3.5366459458410292E-2</v>
      </c>
      <c r="Q67" s="27">
        <f t="shared" si="7"/>
        <v>1.7152732837328992E-3</v>
      </c>
      <c r="R67" s="105">
        <f t="shared" si="15"/>
        <v>14774.747302499998</v>
      </c>
      <c r="S67" s="106">
        <f t="shared" si="16"/>
        <v>3324.3181430625</v>
      </c>
    </row>
    <row r="68" spans="10:19" x14ac:dyDescent="0.35">
      <c r="J68" t="s">
        <v>20</v>
      </c>
      <c r="K68" t="s">
        <v>6</v>
      </c>
      <c r="L68" s="3">
        <f t="shared" ref="L68:L99" si="17">VLOOKUP(K68,$B$14:$C$23,2,FALSE)</f>
        <v>18</v>
      </c>
      <c r="M68" s="27">
        <f t="shared" ref="M68:M99" si="18">VLOOKUP(J68,$B$28:$D$40,3,FALSE)</f>
        <v>0.38</v>
      </c>
      <c r="N68" s="3">
        <f t="shared" si="5"/>
        <v>24.839999999999996</v>
      </c>
      <c r="O68" s="27">
        <f t="shared" ref="O68:O99" si="19">VLOOKUP(K68,$B$14:$D$23,3,FALSE)</f>
        <v>4.7199999999999999E-2</v>
      </c>
      <c r="P68" s="27">
        <f t="shared" si="6"/>
        <v>3.5366459458410292E-2</v>
      </c>
      <c r="Q68" s="27">
        <f t="shared" si="7"/>
        <v>1.6692968864369657E-3</v>
      </c>
      <c r="R68" s="105">
        <f t="shared" ref="R68:R99" si="20">Q68*$C$3*N68</f>
        <v>15224.530391999997</v>
      </c>
      <c r="S68" s="106">
        <f t="shared" ref="S68:S99" si="21">Q68*$C$4*(1.5*N68)</f>
        <v>3425.5193381999998</v>
      </c>
    </row>
    <row r="69" spans="10:19" x14ac:dyDescent="0.35">
      <c r="J69" t="s">
        <v>20</v>
      </c>
      <c r="K69" t="s">
        <v>30</v>
      </c>
      <c r="L69" s="3">
        <f t="shared" si="17"/>
        <v>18</v>
      </c>
      <c r="M69" s="27">
        <f t="shared" si="18"/>
        <v>0.38</v>
      </c>
      <c r="N69" s="3">
        <f t="shared" ref="N69:N132" si="22">L69*(1+M69)</f>
        <v>24.839999999999996</v>
      </c>
      <c r="O69" s="27">
        <f t="shared" si="19"/>
        <v>3.6999999999999998E-2</v>
      </c>
      <c r="P69" s="27">
        <f t="shared" ref="P69:P132" si="23">VLOOKUP(J69,$B$28:$H$40,7,FALSE)</f>
        <v>3.5366459458410292E-2</v>
      </c>
      <c r="Q69" s="27">
        <f t="shared" ref="Q69:Q132" si="24">O69*P69</f>
        <v>1.3085589999611807E-3</v>
      </c>
      <c r="R69" s="105">
        <f t="shared" si="20"/>
        <v>11934.483569999999</v>
      </c>
      <c r="S69" s="106">
        <f t="shared" si="21"/>
        <v>2685.2588032499993</v>
      </c>
    </row>
    <row r="70" spans="10:19" x14ac:dyDescent="0.35">
      <c r="J70" t="s">
        <v>20</v>
      </c>
      <c r="K70" t="s">
        <v>11</v>
      </c>
      <c r="L70" s="3">
        <f t="shared" si="17"/>
        <v>17</v>
      </c>
      <c r="M70" s="27">
        <f t="shared" si="18"/>
        <v>0.38</v>
      </c>
      <c r="N70" s="3">
        <f t="shared" si="22"/>
        <v>23.459999999999997</v>
      </c>
      <c r="O70" s="27">
        <f t="shared" si="19"/>
        <v>2.8500000000000001E-2</v>
      </c>
      <c r="P70" s="27">
        <f t="shared" si="23"/>
        <v>3.5366459458410292E-2</v>
      </c>
      <c r="Q70" s="27">
        <f t="shared" si="24"/>
        <v>1.0079440945646933E-3</v>
      </c>
      <c r="R70" s="105">
        <f t="shared" si="20"/>
        <v>8682.0680025000001</v>
      </c>
      <c r="S70" s="106">
        <f t="shared" si="21"/>
        <v>1953.4653005625</v>
      </c>
    </row>
    <row r="71" spans="10:19" x14ac:dyDescent="0.35">
      <c r="J71" t="s">
        <v>20</v>
      </c>
      <c r="K71" t="s">
        <v>5</v>
      </c>
      <c r="L71" s="3">
        <f t="shared" si="17"/>
        <v>19</v>
      </c>
      <c r="M71" s="27">
        <f t="shared" si="18"/>
        <v>0.38</v>
      </c>
      <c r="N71" s="3">
        <f t="shared" si="22"/>
        <v>26.22</v>
      </c>
      <c r="O71" s="27">
        <f t="shared" si="19"/>
        <v>1.1900000000000001E-2</v>
      </c>
      <c r="P71" s="27">
        <f t="shared" si="23"/>
        <v>3.5366459458410292E-2</v>
      </c>
      <c r="Q71" s="27">
        <f t="shared" si="24"/>
        <v>4.2086086755508252E-4</v>
      </c>
      <c r="R71" s="105">
        <f t="shared" si="20"/>
        <v>4051.6317345000007</v>
      </c>
      <c r="S71" s="106">
        <f t="shared" si="21"/>
        <v>911.61714026250013</v>
      </c>
    </row>
    <row r="72" spans="10:19" x14ac:dyDescent="0.35">
      <c r="J72" t="s">
        <v>20</v>
      </c>
      <c r="K72" t="s">
        <v>7</v>
      </c>
      <c r="L72" s="3">
        <f t="shared" si="17"/>
        <v>20</v>
      </c>
      <c r="M72" s="27">
        <f t="shared" si="18"/>
        <v>0.38</v>
      </c>
      <c r="N72" s="3">
        <f t="shared" si="22"/>
        <v>27.599999999999998</v>
      </c>
      <c r="O72" s="27">
        <f t="shared" si="19"/>
        <v>3.0000000000000001E-3</v>
      </c>
      <c r="P72" s="27">
        <f t="shared" si="23"/>
        <v>3.5366459458410292E-2</v>
      </c>
      <c r="Q72" s="27">
        <f t="shared" si="24"/>
        <v>1.0609937837523088E-4</v>
      </c>
      <c r="R72" s="105">
        <f t="shared" si="20"/>
        <v>1075.1786999999999</v>
      </c>
      <c r="S72" s="106">
        <f t="shared" si="21"/>
        <v>241.91520750000001</v>
      </c>
    </row>
    <row r="73" spans="10:19" x14ac:dyDescent="0.35">
      <c r="J73" t="s">
        <v>20</v>
      </c>
      <c r="K73" t="s">
        <v>9</v>
      </c>
      <c r="L73" s="3">
        <f t="shared" si="17"/>
        <v>22</v>
      </c>
      <c r="M73" s="27">
        <f t="shared" si="18"/>
        <v>0.38</v>
      </c>
      <c r="N73" s="3">
        <f t="shared" si="22"/>
        <v>30.36</v>
      </c>
      <c r="O73" s="27">
        <f t="shared" si="19"/>
        <v>1.2999999999999999E-3</v>
      </c>
      <c r="P73" s="27">
        <f t="shared" si="23"/>
        <v>3.5366459458410292E-2</v>
      </c>
      <c r="Q73" s="27">
        <f t="shared" si="24"/>
        <v>4.5976397295933377E-5</v>
      </c>
      <c r="R73" s="105">
        <f t="shared" si="20"/>
        <v>512.50184699999988</v>
      </c>
      <c r="S73" s="106">
        <f t="shared" si="21"/>
        <v>115.31291557500001</v>
      </c>
    </row>
    <row r="74" spans="10:19" x14ac:dyDescent="0.35">
      <c r="J74" t="s">
        <v>21</v>
      </c>
      <c r="K74" t="s">
        <v>10</v>
      </c>
      <c r="L74" s="3">
        <f t="shared" si="17"/>
        <v>15</v>
      </c>
      <c r="M74" s="27">
        <f t="shared" si="18"/>
        <v>0.4</v>
      </c>
      <c r="N74" s="3">
        <f t="shared" si="22"/>
        <v>21</v>
      </c>
      <c r="O74" s="27">
        <f t="shared" si="19"/>
        <v>0.39500000000000002</v>
      </c>
      <c r="P74" s="27">
        <f t="shared" si="23"/>
        <v>3.0708444611661388E-3</v>
      </c>
      <c r="Q74" s="27">
        <f t="shared" si="24"/>
        <v>1.2129835621606249E-3</v>
      </c>
      <c r="R74" s="105">
        <f t="shared" si="20"/>
        <v>9352.6125000000011</v>
      </c>
      <c r="S74" s="106">
        <f t="shared" si="21"/>
        <v>2104.3378125000004</v>
      </c>
    </row>
    <row r="75" spans="10:19" x14ac:dyDescent="0.35">
      <c r="J75" t="s">
        <v>21</v>
      </c>
      <c r="K75" t="s">
        <v>4</v>
      </c>
      <c r="L75" s="3">
        <f t="shared" si="17"/>
        <v>14.5</v>
      </c>
      <c r="M75" s="27">
        <f t="shared" si="18"/>
        <v>0.4</v>
      </c>
      <c r="N75" s="3">
        <f t="shared" si="22"/>
        <v>20.299999999999997</v>
      </c>
      <c r="O75" s="27">
        <f t="shared" si="19"/>
        <v>0.34260000000000002</v>
      </c>
      <c r="P75" s="27">
        <f t="shared" si="23"/>
        <v>3.0708444611661388E-3</v>
      </c>
      <c r="Q75" s="27">
        <f t="shared" si="24"/>
        <v>1.0520713123955193E-3</v>
      </c>
      <c r="R75" s="105">
        <f t="shared" si="20"/>
        <v>7841.5144499999997</v>
      </c>
      <c r="S75" s="106">
        <f t="shared" si="21"/>
        <v>1764.3407512500003</v>
      </c>
    </row>
    <row r="76" spans="10:19" x14ac:dyDescent="0.35">
      <c r="J76" t="s">
        <v>21</v>
      </c>
      <c r="K76" t="s">
        <v>3</v>
      </c>
      <c r="L76" s="3">
        <f t="shared" si="17"/>
        <v>16</v>
      </c>
      <c r="M76" s="27">
        <f t="shared" si="18"/>
        <v>0.4</v>
      </c>
      <c r="N76" s="3">
        <f t="shared" si="22"/>
        <v>22.4</v>
      </c>
      <c r="O76" s="27">
        <f t="shared" si="19"/>
        <v>8.5000000000000006E-2</v>
      </c>
      <c r="P76" s="27">
        <f t="shared" si="23"/>
        <v>3.0708444611661388E-3</v>
      </c>
      <c r="Q76" s="27">
        <f t="shared" si="24"/>
        <v>2.6102177919912179E-4</v>
      </c>
      <c r="R76" s="105">
        <f t="shared" si="20"/>
        <v>2146.7599999999998</v>
      </c>
      <c r="S76" s="106">
        <f t="shared" si="21"/>
        <v>483.02099999999996</v>
      </c>
    </row>
    <row r="77" spans="10:19" x14ac:dyDescent="0.35">
      <c r="J77" t="s">
        <v>21</v>
      </c>
      <c r="K77" t="s">
        <v>29</v>
      </c>
      <c r="L77" s="3">
        <f t="shared" si="17"/>
        <v>17</v>
      </c>
      <c r="M77" s="27">
        <f t="shared" si="18"/>
        <v>0.4</v>
      </c>
      <c r="N77" s="3">
        <f t="shared" si="22"/>
        <v>23.799999999999997</v>
      </c>
      <c r="O77" s="27">
        <f t="shared" si="19"/>
        <v>4.8500000000000001E-2</v>
      </c>
      <c r="P77" s="27">
        <f t="shared" si="23"/>
        <v>3.0708444611661388E-3</v>
      </c>
      <c r="Q77" s="27">
        <f t="shared" si="24"/>
        <v>1.4893595636655775E-4</v>
      </c>
      <c r="R77" s="105">
        <f t="shared" si="20"/>
        <v>1301.47325</v>
      </c>
      <c r="S77" s="106">
        <f t="shared" si="21"/>
        <v>292.83148125000008</v>
      </c>
    </row>
    <row r="78" spans="10:19" x14ac:dyDescent="0.35">
      <c r="J78" t="s">
        <v>21</v>
      </c>
      <c r="K78" t="s">
        <v>6</v>
      </c>
      <c r="L78" s="3">
        <f t="shared" si="17"/>
        <v>18</v>
      </c>
      <c r="M78" s="27">
        <f t="shared" si="18"/>
        <v>0.4</v>
      </c>
      <c r="N78" s="3">
        <f t="shared" si="22"/>
        <v>25.2</v>
      </c>
      <c r="O78" s="27">
        <f t="shared" si="19"/>
        <v>4.7199999999999999E-2</v>
      </c>
      <c r="P78" s="27">
        <f t="shared" si="23"/>
        <v>3.0708444611661388E-3</v>
      </c>
      <c r="Q78" s="27">
        <f t="shared" si="24"/>
        <v>1.4494385856704176E-4</v>
      </c>
      <c r="R78" s="105">
        <f t="shared" si="20"/>
        <v>1341.0936000000002</v>
      </c>
      <c r="S78" s="106">
        <f t="shared" si="21"/>
        <v>301.74606</v>
      </c>
    </row>
    <row r="79" spans="10:19" x14ac:dyDescent="0.35">
      <c r="J79" t="s">
        <v>21</v>
      </c>
      <c r="K79" t="s">
        <v>30</v>
      </c>
      <c r="L79" s="3">
        <f t="shared" si="17"/>
        <v>18</v>
      </c>
      <c r="M79" s="27">
        <f t="shared" si="18"/>
        <v>0.4</v>
      </c>
      <c r="N79" s="3">
        <f t="shared" si="22"/>
        <v>25.2</v>
      </c>
      <c r="O79" s="27">
        <f t="shared" si="19"/>
        <v>3.6999999999999998E-2</v>
      </c>
      <c r="P79" s="27">
        <f t="shared" si="23"/>
        <v>3.0708444611661388E-3</v>
      </c>
      <c r="Q79" s="27">
        <f t="shared" si="24"/>
        <v>1.1362124506314713E-4</v>
      </c>
      <c r="R79" s="105">
        <f t="shared" si="20"/>
        <v>1051.2809999999999</v>
      </c>
      <c r="S79" s="106">
        <f t="shared" si="21"/>
        <v>236.53822500000001</v>
      </c>
    </row>
    <row r="80" spans="10:19" x14ac:dyDescent="0.35">
      <c r="J80" t="s">
        <v>21</v>
      </c>
      <c r="K80" t="s">
        <v>11</v>
      </c>
      <c r="L80" s="3">
        <f t="shared" si="17"/>
        <v>17</v>
      </c>
      <c r="M80" s="27">
        <f t="shared" si="18"/>
        <v>0.4</v>
      </c>
      <c r="N80" s="3">
        <f t="shared" si="22"/>
        <v>23.799999999999997</v>
      </c>
      <c r="O80" s="27">
        <f t="shared" si="19"/>
        <v>2.8500000000000001E-2</v>
      </c>
      <c r="P80" s="27">
        <f t="shared" si="23"/>
        <v>3.0708444611661388E-3</v>
      </c>
      <c r="Q80" s="27">
        <f t="shared" si="24"/>
        <v>8.7519067143234955E-5</v>
      </c>
      <c r="R80" s="105">
        <f t="shared" si="20"/>
        <v>764.78324999999984</v>
      </c>
      <c r="S80" s="106">
        <f t="shared" si="21"/>
        <v>172.07623125000001</v>
      </c>
    </row>
    <row r="81" spans="10:19" x14ac:dyDescent="0.35">
      <c r="J81" t="s">
        <v>21</v>
      </c>
      <c r="K81" t="s">
        <v>5</v>
      </c>
      <c r="L81" s="3">
        <f t="shared" si="17"/>
        <v>19</v>
      </c>
      <c r="M81" s="27">
        <f t="shared" si="18"/>
        <v>0.4</v>
      </c>
      <c r="N81" s="3">
        <f t="shared" si="22"/>
        <v>26.599999999999998</v>
      </c>
      <c r="O81" s="27">
        <f t="shared" si="19"/>
        <v>1.1900000000000001E-2</v>
      </c>
      <c r="P81" s="27">
        <f t="shared" si="23"/>
        <v>3.0708444611661388E-3</v>
      </c>
      <c r="Q81" s="27">
        <f t="shared" si="24"/>
        <v>3.6543049087877052E-5</v>
      </c>
      <c r="R81" s="105">
        <f t="shared" si="20"/>
        <v>356.89884999999998</v>
      </c>
      <c r="S81" s="106">
        <f t="shared" si="21"/>
        <v>80.302241250000009</v>
      </c>
    </row>
    <row r="82" spans="10:19" x14ac:dyDescent="0.35">
      <c r="J82" t="s">
        <v>21</v>
      </c>
      <c r="K82" t="s">
        <v>7</v>
      </c>
      <c r="L82" s="3">
        <f t="shared" si="17"/>
        <v>20</v>
      </c>
      <c r="M82" s="27">
        <f t="shared" si="18"/>
        <v>0.4</v>
      </c>
      <c r="N82" s="3">
        <f t="shared" si="22"/>
        <v>28</v>
      </c>
      <c r="O82" s="27">
        <f t="shared" si="19"/>
        <v>3.0000000000000001E-3</v>
      </c>
      <c r="P82" s="27">
        <f t="shared" si="23"/>
        <v>3.0708444611661388E-3</v>
      </c>
      <c r="Q82" s="27">
        <f t="shared" si="24"/>
        <v>9.2125333834984162E-6</v>
      </c>
      <c r="R82" s="105">
        <f t="shared" si="20"/>
        <v>94.71</v>
      </c>
      <c r="S82" s="106">
        <f t="shared" si="21"/>
        <v>21.309750000000001</v>
      </c>
    </row>
    <row r="83" spans="10:19" x14ac:dyDescent="0.35">
      <c r="J83" t="s">
        <v>21</v>
      </c>
      <c r="K83" t="s">
        <v>9</v>
      </c>
      <c r="L83" s="3">
        <f t="shared" si="17"/>
        <v>22</v>
      </c>
      <c r="M83" s="27">
        <f t="shared" si="18"/>
        <v>0.4</v>
      </c>
      <c r="N83" s="3">
        <f t="shared" si="22"/>
        <v>30.799999999999997</v>
      </c>
      <c r="O83" s="27">
        <f t="shared" si="19"/>
        <v>1.2999999999999999E-3</v>
      </c>
      <c r="P83" s="27">
        <f t="shared" si="23"/>
        <v>3.0708444611661388E-3</v>
      </c>
      <c r="Q83" s="27">
        <f t="shared" si="24"/>
        <v>3.9920977995159799E-6</v>
      </c>
      <c r="R83" s="105">
        <f t="shared" si="20"/>
        <v>45.145099999999992</v>
      </c>
      <c r="S83" s="106">
        <f t="shared" si="21"/>
        <v>10.157647499999998</v>
      </c>
    </row>
    <row r="84" spans="10:19" x14ac:dyDescent="0.35">
      <c r="J84" t="s">
        <v>22</v>
      </c>
      <c r="K84" t="s">
        <v>10</v>
      </c>
      <c r="L84" s="3">
        <f t="shared" si="17"/>
        <v>15</v>
      </c>
      <c r="M84" s="27">
        <f t="shared" si="18"/>
        <v>0.34</v>
      </c>
      <c r="N84" s="3">
        <f t="shared" si="22"/>
        <v>20.100000000000001</v>
      </c>
      <c r="O84" s="27">
        <f t="shared" si="19"/>
        <v>0.39500000000000002</v>
      </c>
      <c r="P84" s="27">
        <f t="shared" si="23"/>
        <v>3.8958244425197047E-2</v>
      </c>
      <c r="Q84" s="27">
        <f t="shared" si="24"/>
        <v>1.5388506547952834E-2</v>
      </c>
      <c r="R84" s="105">
        <f t="shared" si="20"/>
        <v>113566.76678999999</v>
      </c>
      <c r="S84" s="106">
        <f t="shared" si="21"/>
        <v>25552.522527750003</v>
      </c>
    </row>
    <row r="85" spans="10:19" x14ac:dyDescent="0.35">
      <c r="J85" t="s">
        <v>22</v>
      </c>
      <c r="K85" t="s">
        <v>4</v>
      </c>
      <c r="L85" s="3">
        <f t="shared" si="17"/>
        <v>14.5</v>
      </c>
      <c r="M85" s="27">
        <f t="shared" si="18"/>
        <v>0.34</v>
      </c>
      <c r="N85" s="3">
        <f t="shared" si="22"/>
        <v>19.43</v>
      </c>
      <c r="O85" s="27">
        <f t="shared" si="19"/>
        <v>0.34260000000000002</v>
      </c>
      <c r="P85" s="27">
        <f t="shared" si="23"/>
        <v>3.8958244425197047E-2</v>
      </c>
      <c r="Q85" s="27">
        <f t="shared" si="24"/>
        <v>1.334709454007251E-2</v>
      </c>
      <c r="R85" s="105">
        <f t="shared" si="20"/>
        <v>95217.827406360011</v>
      </c>
      <c r="S85" s="106">
        <f t="shared" si="21"/>
        <v>21424.011166431002</v>
      </c>
    </row>
    <row r="86" spans="10:19" x14ac:dyDescent="0.35">
      <c r="J86" t="s">
        <v>22</v>
      </c>
      <c r="K86" t="s">
        <v>3</v>
      </c>
      <c r="L86" s="3">
        <f t="shared" si="17"/>
        <v>16</v>
      </c>
      <c r="M86" s="27">
        <f t="shared" si="18"/>
        <v>0.34</v>
      </c>
      <c r="N86" s="3">
        <f t="shared" si="22"/>
        <v>21.44</v>
      </c>
      <c r="O86" s="27">
        <f t="shared" si="19"/>
        <v>8.5000000000000006E-2</v>
      </c>
      <c r="P86" s="27">
        <f t="shared" si="23"/>
        <v>3.8958244425197047E-2</v>
      </c>
      <c r="Q86" s="27">
        <f t="shared" si="24"/>
        <v>3.3114507761417495E-3</v>
      </c>
      <c r="R86" s="105">
        <f t="shared" si="20"/>
        <v>26067.646048000006</v>
      </c>
      <c r="S86" s="106">
        <f t="shared" si="21"/>
        <v>5865.2203608000018</v>
      </c>
    </row>
    <row r="87" spans="10:19" x14ac:dyDescent="0.35">
      <c r="J87" t="s">
        <v>22</v>
      </c>
      <c r="K87" t="s">
        <v>29</v>
      </c>
      <c r="L87" s="3">
        <f t="shared" si="17"/>
        <v>17</v>
      </c>
      <c r="M87" s="27">
        <f t="shared" si="18"/>
        <v>0.34</v>
      </c>
      <c r="N87" s="3">
        <f t="shared" si="22"/>
        <v>22.78</v>
      </c>
      <c r="O87" s="27">
        <f t="shared" si="19"/>
        <v>4.8500000000000001E-2</v>
      </c>
      <c r="P87" s="27">
        <f t="shared" si="23"/>
        <v>3.8958244425197047E-2</v>
      </c>
      <c r="Q87" s="27">
        <f t="shared" si="24"/>
        <v>1.8894748546220569E-3</v>
      </c>
      <c r="R87" s="105">
        <f t="shared" si="20"/>
        <v>15803.5104166</v>
      </c>
      <c r="S87" s="106">
        <f t="shared" si="21"/>
        <v>3555.7898437350009</v>
      </c>
    </row>
    <row r="88" spans="10:19" x14ac:dyDescent="0.35">
      <c r="J88" t="s">
        <v>22</v>
      </c>
      <c r="K88" t="s">
        <v>6</v>
      </c>
      <c r="L88" s="3">
        <f t="shared" si="17"/>
        <v>18</v>
      </c>
      <c r="M88" s="27">
        <f t="shared" si="18"/>
        <v>0.34</v>
      </c>
      <c r="N88" s="3">
        <f t="shared" si="22"/>
        <v>24.12</v>
      </c>
      <c r="O88" s="27">
        <f t="shared" si="19"/>
        <v>4.7199999999999999E-2</v>
      </c>
      <c r="P88" s="27">
        <f t="shared" si="23"/>
        <v>3.8958244425197047E-2</v>
      </c>
      <c r="Q88" s="27">
        <f t="shared" si="24"/>
        <v>1.8388291368693006E-3</v>
      </c>
      <c r="R88" s="105">
        <f t="shared" si="20"/>
        <v>16284.611825279999</v>
      </c>
      <c r="S88" s="106">
        <f t="shared" si="21"/>
        <v>3664.037660688</v>
      </c>
    </row>
    <row r="89" spans="10:19" x14ac:dyDescent="0.35">
      <c r="J89" t="s">
        <v>22</v>
      </c>
      <c r="K89" t="s">
        <v>30</v>
      </c>
      <c r="L89" s="3">
        <f t="shared" si="17"/>
        <v>18</v>
      </c>
      <c r="M89" s="27">
        <f t="shared" si="18"/>
        <v>0.34</v>
      </c>
      <c r="N89" s="3">
        <f t="shared" si="22"/>
        <v>24.12</v>
      </c>
      <c r="O89" s="27">
        <f t="shared" si="19"/>
        <v>3.6999999999999998E-2</v>
      </c>
      <c r="P89" s="27">
        <f t="shared" si="23"/>
        <v>3.8958244425197047E-2</v>
      </c>
      <c r="Q89" s="27">
        <f t="shared" si="24"/>
        <v>1.4414550437322907E-3</v>
      </c>
      <c r="R89" s="105">
        <f t="shared" si="20"/>
        <v>12765.4796088</v>
      </c>
      <c r="S89" s="106">
        <f t="shared" si="21"/>
        <v>2872.2329119799997</v>
      </c>
    </row>
    <row r="90" spans="10:19" x14ac:dyDescent="0.35">
      <c r="J90" t="s">
        <v>22</v>
      </c>
      <c r="K90" t="s">
        <v>11</v>
      </c>
      <c r="L90" s="3">
        <f t="shared" si="17"/>
        <v>17</v>
      </c>
      <c r="M90" s="27">
        <f t="shared" si="18"/>
        <v>0.34</v>
      </c>
      <c r="N90" s="3">
        <f t="shared" si="22"/>
        <v>22.78</v>
      </c>
      <c r="O90" s="27">
        <f t="shared" si="19"/>
        <v>2.8500000000000001E-2</v>
      </c>
      <c r="P90" s="27">
        <f t="shared" si="23"/>
        <v>3.8958244425197047E-2</v>
      </c>
      <c r="Q90" s="27">
        <f t="shared" si="24"/>
        <v>1.1103099661181159E-3</v>
      </c>
      <c r="R90" s="105">
        <f t="shared" si="20"/>
        <v>9286.5989046000013</v>
      </c>
      <c r="S90" s="106">
        <f t="shared" si="21"/>
        <v>2089.4847535350004</v>
      </c>
    </row>
    <row r="91" spans="10:19" x14ac:dyDescent="0.35">
      <c r="J91" t="s">
        <v>22</v>
      </c>
      <c r="K91" t="s">
        <v>5</v>
      </c>
      <c r="L91" s="3">
        <f t="shared" si="17"/>
        <v>19</v>
      </c>
      <c r="M91" s="27">
        <f t="shared" si="18"/>
        <v>0.34</v>
      </c>
      <c r="N91" s="3">
        <f t="shared" si="22"/>
        <v>25.46</v>
      </c>
      <c r="O91" s="27">
        <f t="shared" si="19"/>
        <v>1.1900000000000001E-2</v>
      </c>
      <c r="P91" s="27">
        <f t="shared" si="23"/>
        <v>3.8958244425197047E-2</v>
      </c>
      <c r="Q91" s="27">
        <f t="shared" si="24"/>
        <v>4.6360310865984489E-4</v>
      </c>
      <c r="R91" s="105">
        <f t="shared" si="20"/>
        <v>4333.7461554800002</v>
      </c>
      <c r="S91" s="106">
        <f t="shared" si="21"/>
        <v>975.09288498299998</v>
      </c>
    </row>
    <row r="92" spans="10:19" x14ac:dyDescent="0.35">
      <c r="J92" t="s">
        <v>22</v>
      </c>
      <c r="K92" t="s">
        <v>7</v>
      </c>
      <c r="L92" s="3">
        <f t="shared" si="17"/>
        <v>20</v>
      </c>
      <c r="M92" s="27">
        <f t="shared" si="18"/>
        <v>0.34</v>
      </c>
      <c r="N92" s="3">
        <f t="shared" si="22"/>
        <v>26.8</v>
      </c>
      <c r="O92" s="27">
        <f t="shared" si="19"/>
        <v>3.0000000000000001E-3</v>
      </c>
      <c r="P92" s="27">
        <f t="shared" si="23"/>
        <v>3.8958244425197047E-2</v>
      </c>
      <c r="Q92" s="27">
        <f t="shared" si="24"/>
        <v>1.1687473327559115E-4</v>
      </c>
      <c r="R92" s="105">
        <f t="shared" si="20"/>
        <v>1150.043208</v>
      </c>
      <c r="S92" s="106">
        <f t="shared" si="21"/>
        <v>258.75972180000002</v>
      </c>
    </row>
    <row r="93" spans="10:19" x14ac:dyDescent="0.35">
      <c r="J93" t="s">
        <v>22</v>
      </c>
      <c r="K93" t="s">
        <v>9</v>
      </c>
      <c r="L93" s="3">
        <f t="shared" si="17"/>
        <v>22</v>
      </c>
      <c r="M93" s="27">
        <f t="shared" si="18"/>
        <v>0.34</v>
      </c>
      <c r="N93" s="3">
        <f t="shared" si="22"/>
        <v>29.48</v>
      </c>
      <c r="O93" s="27">
        <f t="shared" si="19"/>
        <v>1.2999999999999999E-3</v>
      </c>
      <c r="P93" s="27">
        <f t="shared" si="23"/>
        <v>3.8958244425197047E-2</v>
      </c>
      <c r="Q93" s="27">
        <f t="shared" si="24"/>
        <v>5.0645717752756156E-5</v>
      </c>
      <c r="R93" s="105">
        <f t="shared" si="20"/>
        <v>548.18726247999996</v>
      </c>
      <c r="S93" s="106">
        <f t="shared" si="21"/>
        <v>123.342134058</v>
      </c>
    </row>
    <row r="94" spans="10:19" x14ac:dyDescent="0.35">
      <c r="J94" t="s">
        <v>23</v>
      </c>
      <c r="K94" t="s">
        <v>10</v>
      </c>
      <c r="L94" s="3">
        <f t="shared" si="17"/>
        <v>15</v>
      </c>
      <c r="M94" s="27">
        <f t="shared" si="18"/>
        <v>0.38</v>
      </c>
      <c r="N94" s="3">
        <f t="shared" si="22"/>
        <v>20.7</v>
      </c>
      <c r="O94" s="27">
        <f t="shared" si="19"/>
        <v>0.39500000000000002</v>
      </c>
      <c r="P94" s="27">
        <f t="shared" si="23"/>
        <v>1.4734361116547507E-2</v>
      </c>
      <c r="Q94" s="27">
        <f t="shared" si="24"/>
        <v>5.8200726410362657E-3</v>
      </c>
      <c r="R94" s="105">
        <f t="shared" si="20"/>
        <v>44234.129115000025</v>
      </c>
      <c r="S94" s="106">
        <f t="shared" si="21"/>
        <v>9952.6790508750073</v>
      </c>
    </row>
    <row r="95" spans="10:19" x14ac:dyDescent="0.35">
      <c r="J95" t="s">
        <v>23</v>
      </c>
      <c r="K95" t="s">
        <v>4</v>
      </c>
      <c r="L95" s="3">
        <f t="shared" si="17"/>
        <v>14.5</v>
      </c>
      <c r="M95" s="27">
        <f t="shared" si="18"/>
        <v>0.38</v>
      </c>
      <c r="N95" s="3">
        <f t="shared" si="22"/>
        <v>20.009999999999998</v>
      </c>
      <c r="O95" s="27">
        <f t="shared" si="19"/>
        <v>0.34260000000000002</v>
      </c>
      <c r="P95" s="27">
        <f t="shared" si="23"/>
        <v>1.4734361116547507E-2</v>
      </c>
      <c r="Q95" s="27">
        <f t="shared" si="24"/>
        <v>5.0479921185291763E-3</v>
      </c>
      <c r="R95" s="105">
        <f t="shared" si="20"/>
        <v>37087.237671660019</v>
      </c>
      <c r="S95" s="106">
        <f t="shared" si="21"/>
        <v>8344.6284761235038</v>
      </c>
    </row>
    <row r="96" spans="10:19" x14ac:dyDescent="0.35">
      <c r="J96" t="s">
        <v>23</v>
      </c>
      <c r="K96" t="s">
        <v>3</v>
      </c>
      <c r="L96" s="3">
        <f t="shared" si="17"/>
        <v>16</v>
      </c>
      <c r="M96" s="27">
        <f t="shared" si="18"/>
        <v>0.38</v>
      </c>
      <c r="N96" s="3">
        <f t="shared" si="22"/>
        <v>22.08</v>
      </c>
      <c r="O96" s="27">
        <f t="shared" si="19"/>
        <v>8.5000000000000006E-2</v>
      </c>
      <c r="P96" s="27">
        <f t="shared" si="23"/>
        <v>1.4734361116547507E-2</v>
      </c>
      <c r="Q96" s="27">
        <f t="shared" si="24"/>
        <v>1.2524206949065383E-3</v>
      </c>
      <c r="R96" s="105">
        <f t="shared" si="20"/>
        <v>10153.319088000006</v>
      </c>
      <c r="S96" s="106">
        <f t="shared" si="21"/>
        <v>2284.4967948000012</v>
      </c>
    </row>
    <row r="97" spans="10:19" x14ac:dyDescent="0.35">
      <c r="J97" t="s">
        <v>23</v>
      </c>
      <c r="K97" t="s">
        <v>29</v>
      </c>
      <c r="L97" s="3">
        <f t="shared" si="17"/>
        <v>17</v>
      </c>
      <c r="M97" s="27">
        <f t="shared" si="18"/>
        <v>0.38</v>
      </c>
      <c r="N97" s="3">
        <f t="shared" si="22"/>
        <v>23.459999999999997</v>
      </c>
      <c r="O97" s="27">
        <f t="shared" si="19"/>
        <v>4.8500000000000001E-2</v>
      </c>
      <c r="P97" s="27">
        <f t="shared" si="23"/>
        <v>1.4734361116547507E-2</v>
      </c>
      <c r="Q97" s="27">
        <f t="shared" si="24"/>
        <v>7.1461651415255414E-4</v>
      </c>
      <c r="R97" s="105">
        <f t="shared" si="20"/>
        <v>6155.4496971000026</v>
      </c>
      <c r="S97" s="106">
        <f t="shared" si="21"/>
        <v>1384.976181847501</v>
      </c>
    </row>
    <row r="98" spans="10:19" x14ac:dyDescent="0.35">
      <c r="J98" t="s">
        <v>23</v>
      </c>
      <c r="K98" t="s">
        <v>6</v>
      </c>
      <c r="L98" s="3">
        <f t="shared" si="17"/>
        <v>18</v>
      </c>
      <c r="M98" s="27">
        <f t="shared" si="18"/>
        <v>0.38</v>
      </c>
      <c r="N98" s="3">
        <f t="shared" si="22"/>
        <v>24.839999999999996</v>
      </c>
      <c r="O98" s="27">
        <f t="shared" si="19"/>
        <v>4.7199999999999999E-2</v>
      </c>
      <c r="P98" s="27">
        <f t="shared" si="23"/>
        <v>1.4734361116547507E-2</v>
      </c>
      <c r="Q98" s="27">
        <f t="shared" si="24"/>
        <v>6.9546184470104238E-4</v>
      </c>
      <c r="R98" s="105">
        <f t="shared" si="20"/>
        <v>6342.8381596800027</v>
      </c>
      <c r="S98" s="106">
        <f t="shared" si="21"/>
        <v>1427.1385859280006</v>
      </c>
    </row>
    <row r="99" spans="10:19" x14ac:dyDescent="0.35">
      <c r="J99" t="s">
        <v>23</v>
      </c>
      <c r="K99" t="s">
        <v>30</v>
      </c>
      <c r="L99" s="3">
        <f t="shared" si="17"/>
        <v>18</v>
      </c>
      <c r="M99" s="27">
        <f t="shared" si="18"/>
        <v>0.38</v>
      </c>
      <c r="N99" s="3">
        <f t="shared" si="22"/>
        <v>24.839999999999996</v>
      </c>
      <c r="O99" s="27">
        <f t="shared" si="19"/>
        <v>3.6999999999999998E-2</v>
      </c>
      <c r="P99" s="27">
        <f t="shared" si="23"/>
        <v>1.4734361116547507E-2</v>
      </c>
      <c r="Q99" s="27">
        <f t="shared" si="24"/>
        <v>5.4517136131225778E-4</v>
      </c>
      <c r="R99" s="105">
        <f t="shared" si="20"/>
        <v>4972.1400828000014</v>
      </c>
      <c r="S99" s="106">
        <f t="shared" si="21"/>
        <v>1118.7315186300004</v>
      </c>
    </row>
    <row r="100" spans="10:19" x14ac:dyDescent="0.35">
      <c r="J100" t="s">
        <v>23</v>
      </c>
      <c r="K100" t="s">
        <v>11</v>
      </c>
      <c r="L100" s="3">
        <f t="shared" ref="L100:L131" si="25">VLOOKUP(K100,$B$14:$C$23,2,FALSE)</f>
        <v>17</v>
      </c>
      <c r="M100" s="27">
        <f t="shared" ref="M100:M133" si="26">VLOOKUP(J100,$B$28:$D$40,3,FALSE)</f>
        <v>0.38</v>
      </c>
      <c r="N100" s="3">
        <f t="shared" si="22"/>
        <v>23.459999999999997</v>
      </c>
      <c r="O100" s="27">
        <f t="shared" ref="O100:O133" si="27">VLOOKUP(K100,$B$14:$D$23,3,FALSE)</f>
        <v>2.8500000000000001E-2</v>
      </c>
      <c r="P100" s="27">
        <f t="shared" si="23"/>
        <v>1.4734361116547507E-2</v>
      </c>
      <c r="Q100" s="27">
        <f t="shared" si="24"/>
        <v>4.1992929182160397E-4</v>
      </c>
      <c r="R100" s="105">
        <f t="shared" ref="R100:R131" si="28">Q100*$C$3*N100</f>
        <v>3617.1199251000016</v>
      </c>
      <c r="S100" s="106">
        <f t="shared" ref="S100:S133" si="29">Q100*$C$4*(1.5*N100)</f>
        <v>813.8519831475005</v>
      </c>
    </row>
    <row r="101" spans="10:19" x14ac:dyDescent="0.35">
      <c r="J101" t="s">
        <v>23</v>
      </c>
      <c r="K101" t="s">
        <v>5</v>
      </c>
      <c r="L101" s="3">
        <f t="shared" si="25"/>
        <v>19</v>
      </c>
      <c r="M101" s="27">
        <f t="shared" si="26"/>
        <v>0.38</v>
      </c>
      <c r="N101" s="3">
        <f t="shared" si="22"/>
        <v>26.22</v>
      </c>
      <c r="O101" s="27">
        <f t="shared" si="27"/>
        <v>1.1900000000000001E-2</v>
      </c>
      <c r="P101" s="27">
        <f t="shared" si="23"/>
        <v>1.4734361116547507E-2</v>
      </c>
      <c r="Q101" s="27">
        <f t="shared" si="24"/>
        <v>1.7533889728691535E-4</v>
      </c>
      <c r="R101" s="105">
        <f t="shared" si="28"/>
        <v>1687.9892983800009</v>
      </c>
      <c r="S101" s="106">
        <f t="shared" si="29"/>
        <v>379.79759213550022</v>
      </c>
    </row>
    <row r="102" spans="10:19" x14ac:dyDescent="0.35">
      <c r="J102" t="s">
        <v>23</v>
      </c>
      <c r="K102" t="s">
        <v>7</v>
      </c>
      <c r="L102" s="3">
        <f t="shared" si="25"/>
        <v>20</v>
      </c>
      <c r="M102" s="27">
        <f t="shared" si="26"/>
        <v>0.38</v>
      </c>
      <c r="N102" s="3">
        <f t="shared" si="22"/>
        <v>27.599999999999998</v>
      </c>
      <c r="O102" s="27">
        <f t="shared" si="27"/>
        <v>3.0000000000000001E-3</v>
      </c>
      <c r="P102" s="27">
        <f t="shared" si="23"/>
        <v>1.4734361116547507E-2</v>
      </c>
      <c r="Q102" s="27">
        <f t="shared" si="24"/>
        <v>4.4203083349642526E-5</v>
      </c>
      <c r="R102" s="105">
        <f t="shared" si="28"/>
        <v>447.94054800000026</v>
      </c>
      <c r="S102" s="106">
        <f t="shared" si="29"/>
        <v>100.78662330000007</v>
      </c>
    </row>
    <row r="103" spans="10:19" x14ac:dyDescent="0.35">
      <c r="J103" t="s">
        <v>23</v>
      </c>
      <c r="K103" t="s">
        <v>9</v>
      </c>
      <c r="L103" s="3">
        <f t="shared" si="25"/>
        <v>22</v>
      </c>
      <c r="M103" s="27">
        <f t="shared" si="26"/>
        <v>0.38</v>
      </c>
      <c r="N103" s="3">
        <f t="shared" si="22"/>
        <v>30.36</v>
      </c>
      <c r="O103" s="27">
        <f t="shared" si="27"/>
        <v>1.2999999999999999E-3</v>
      </c>
      <c r="P103" s="27">
        <f t="shared" si="23"/>
        <v>1.4734361116547507E-2</v>
      </c>
      <c r="Q103" s="27">
        <f t="shared" si="24"/>
        <v>1.915466945151176E-5</v>
      </c>
      <c r="R103" s="105">
        <f t="shared" si="28"/>
        <v>213.5183278800001</v>
      </c>
      <c r="S103" s="106">
        <f t="shared" si="29"/>
        <v>48.041623773000026</v>
      </c>
    </row>
    <row r="104" spans="10:19" x14ac:dyDescent="0.35">
      <c r="J104" t="s">
        <v>24</v>
      </c>
      <c r="K104" t="s">
        <v>10</v>
      </c>
      <c r="L104" s="3">
        <f t="shared" si="25"/>
        <v>15</v>
      </c>
      <c r="M104" s="27">
        <f t="shared" si="26"/>
        <v>0.37</v>
      </c>
      <c r="N104" s="3">
        <f t="shared" si="22"/>
        <v>20.55</v>
      </c>
      <c r="O104" s="27">
        <f t="shared" si="27"/>
        <v>0.39500000000000002</v>
      </c>
      <c r="P104" s="27">
        <f t="shared" si="23"/>
        <v>3.8789055194219106E-3</v>
      </c>
      <c r="Q104" s="27">
        <f t="shared" si="24"/>
        <v>1.5321676801716548E-3</v>
      </c>
      <c r="R104" s="105">
        <f t="shared" si="28"/>
        <v>11560.506277500004</v>
      </c>
      <c r="S104" s="106">
        <f t="shared" si="29"/>
        <v>2601.1139124375013</v>
      </c>
    </row>
    <row r="105" spans="10:19" x14ac:dyDescent="0.35">
      <c r="J105" t="s">
        <v>24</v>
      </c>
      <c r="K105" t="s">
        <v>4</v>
      </c>
      <c r="L105" s="3">
        <f t="shared" si="25"/>
        <v>14.5</v>
      </c>
      <c r="M105" s="27">
        <f t="shared" si="26"/>
        <v>0.37</v>
      </c>
      <c r="N105" s="3">
        <f t="shared" si="22"/>
        <v>19.865000000000002</v>
      </c>
      <c r="O105" s="27">
        <f t="shared" si="27"/>
        <v>0.34260000000000002</v>
      </c>
      <c r="P105" s="27">
        <f t="shared" si="23"/>
        <v>3.8789055194219106E-3</v>
      </c>
      <c r="Q105" s="27">
        <f t="shared" si="24"/>
        <v>1.3289130309539466E-3</v>
      </c>
      <c r="R105" s="105">
        <f t="shared" si="28"/>
        <v>9692.6796683100038</v>
      </c>
      <c r="S105" s="106">
        <f t="shared" si="29"/>
        <v>2180.8529253697511</v>
      </c>
    </row>
    <row r="106" spans="10:19" x14ac:dyDescent="0.35">
      <c r="J106" t="s">
        <v>24</v>
      </c>
      <c r="K106" t="s">
        <v>3</v>
      </c>
      <c r="L106" s="3">
        <f t="shared" si="25"/>
        <v>16</v>
      </c>
      <c r="M106" s="27">
        <f t="shared" si="26"/>
        <v>0.37</v>
      </c>
      <c r="N106" s="3">
        <f t="shared" si="22"/>
        <v>21.92</v>
      </c>
      <c r="O106" s="27">
        <f t="shared" si="27"/>
        <v>8.5000000000000006E-2</v>
      </c>
      <c r="P106" s="27">
        <f t="shared" si="23"/>
        <v>3.8789055194219106E-3</v>
      </c>
      <c r="Q106" s="27">
        <f t="shared" si="24"/>
        <v>3.297069691508624E-4</v>
      </c>
      <c r="R106" s="105">
        <f t="shared" si="28"/>
        <v>2653.5508080000009</v>
      </c>
      <c r="S106" s="106">
        <f t="shared" si="29"/>
        <v>597.04893180000033</v>
      </c>
    </row>
    <row r="107" spans="10:19" x14ac:dyDescent="0.35">
      <c r="J107" t="s">
        <v>24</v>
      </c>
      <c r="K107" t="s">
        <v>29</v>
      </c>
      <c r="L107" s="3">
        <f t="shared" si="25"/>
        <v>17</v>
      </c>
      <c r="M107" s="27">
        <f t="shared" si="26"/>
        <v>0.37</v>
      </c>
      <c r="N107" s="3">
        <f t="shared" si="22"/>
        <v>23.290000000000003</v>
      </c>
      <c r="O107" s="27">
        <f t="shared" si="27"/>
        <v>4.8500000000000001E-2</v>
      </c>
      <c r="P107" s="27">
        <f t="shared" si="23"/>
        <v>3.8789055194219106E-3</v>
      </c>
      <c r="Q107" s="27">
        <f t="shared" si="24"/>
        <v>1.8812691769196267E-4</v>
      </c>
      <c r="R107" s="105">
        <f t="shared" si="28"/>
        <v>1608.7151773500007</v>
      </c>
      <c r="S107" s="106">
        <f t="shared" si="29"/>
        <v>361.96091490375017</v>
      </c>
    </row>
    <row r="108" spans="10:19" x14ac:dyDescent="0.35">
      <c r="J108" t="s">
        <v>24</v>
      </c>
      <c r="K108" t="s">
        <v>6</v>
      </c>
      <c r="L108" s="3">
        <f t="shared" si="25"/>
        <v>18</v>
      </c>
      <c r="M108" s="27">
        <f t="shared" si="26"/>
        <v>0.37</v>
      </c>
      <c r="N108" s="3">
        <f t="shared" si="22"/>
        <v>24.660000000000004</v>
      </c>
      <c r="O108" s="27">
        <f t="shared" si="27"/>
        <v>4.7199999999999999E-2</v>
      </c>
      <c r="P108" s="27">
        <f t="shared" si="23"/>
        <v>3.8789055194219106E-3</v>
      </c>
      <c r="Q108" s="27">
        <f t="shared" si="24"/>
        <v>1.8308434051671419E-4</v>
      </c>
      <c r="R108" s="105">
        <f t="shared" si="28"/>
        <v>1657.6887988800006</v>
      </c>
      <c r="S108" s="106">
        <f t="shared" si="29"/>
        <v>372.97997974800023</v>
      </c>
    </row>
    <row r="109" spans="10:19" x14ac:dyDescent="0.35">
      <c r="J109" t="s">
        <v>24</v>
      </c>
      <c r="K109" t="s">
        <v>30</v>
      </c>
      <c r="L109" s="3">
        <f t="shared" si="25"/>
        <v>18</v>
      </c>
      <c r="M109" s="27">
        <f t="shared" si="26"/>
        <v>0.37</v>
      </c>
      <c r="N109" s="3">
        <f t="shared" si="22"/>
        <v>24.660000000000004</v>
      </c>
      <c r="O109" s="27">
        <f t="shared" si="27"/>
        <v>3.6999999999999998E-2</v>
      </c>
      <c r="P109" s="27">
        <f t="shared" si="23"/>
        <v>3.8789055194219106E-3</v>
      </c>
      <c r="Q109" s="27">
        <f t="shared" si="24"/>
        <v>1.4351950421861068E-4</v>
      </c>
      <c r="R109" s="105">
        <f t="shared" si="28"/>
        <v>1299.4594398000004</v>
      </c>
      <c r="S109" s="106">
        <f t="shared" si="29"/>
        <v>292.37837395500014</v>
      </c>
    </row>
    <row r="110" spans="10:19" x14ac:dyDescent="0.35">
      <c r="J110" t="s">
        <v>24</v>
      </c>
      <c r="K110" t="s">
        <v>11</v>
      </c>
      <c r="L110" s="3">
        <f t="shared" si="25"/>
        <v>17</v>
      </c>
      <c r="M110" s="27">
        <f t="shared" si="26"/>
        <v>0.37</v>
      </c>
      <c r="N110" s="3">
        <f t="shared" si="22"/>
        <v>23.290000000000003</v>
      </c>
      <c r="O110" s="27">
        <f t="shared" si="27"/>
        <v>2.8500000000000001E-2</v>
      </c>
      <c r="P110" s="27">
        <f t="shared" si="23"/>
        <v>3.8789055194219106E-3</v>
      </c>
      <c r="Q110" s="27">
        <f t="shared" si="24"/>
        <v>1.1054880730352446E-4</v>
      </c>
      <c r="R110" s="105">
        <f t="shared" si="28"/>
        <v>945.32747535000033</v>
      </c>
      <c r="S110" s="106">
        <f t="shared" si="29"/>
        <v>212.69868195375008</v>
      </c>
    </row>
    <row r="111" spans="10:19" x14ac:dyDescent="0.35">
      <c r="J111" t="s">
        <v>24</v>
      </c>
      <c r="K111" t="s">
        <v>5</v>
      </c>
      <c r="L111" s="3">
        <f t="shared" si="25"/>
        <v>19</v>
      </c>
      <c r="M111" s="27">
        <f t="shared" si="26"/>
        <v>0.37</v>
      </c>
      <c r="N111" s="3">
        <f t="shared" si="22"/>
        <v>26.03</v>
      </c>
      <c r="O111" s="27">
        <f t="shared" si="27"/>
        <v>1.1900000000000001E-2</v>
      </c>
      <c r="P111" s="27">
        <f t="shared" si="23"/>
        <v>3.8789055194219106E-3</v>
      </c>
      <c r="Q111" s="27">
        <f t="shared" si="24"/>
        <v>4.6158975681120743E-5</v>
      </c>
      <c r="R111" s="105">
        <f t="shared" si="28"/>
        <v>441.15282183000022</v>
      </c>
      <c r="S111" s="106">
        <f t="shared" si="29"/>
        <v>99.259384911750061</v>
      </c>
    </row>
    <row r="112" spans="10:19" x14ac:dyDescent="0.35">
      <c r="J112" t="s">
        <v>24</v>
      </c>
      <c r="K112" t="s">
        <v>7</v>
      </c>
      <c r="L112" s="3">
        <f t="shared" si="25"/>
        <v>20</v>
      </c>
      <c r="M112" s="27">
        <f t="shared" si="26"/>
        <v>0.37</v>
      </c>
      <c r="N112" s="3">
        <f t="shared" si="22"/>
        <v>27.400000000000002</v>
      </c>
      <c r="O112" s="27">
        <f t="shared" si="27"/>
        <v>3.0000000000000001E-3</v>
      </c>
      <c r="P112" s="27">
        <f t="shared" si="23"/>
        <v>3.8789055194219106E-3</v>
      </c>
      <c r="Q112" s="27">
        <f t="shared" si="24"/>
        <v>1.1636716558265733E-5</v>
      </c>
      <c r="R112" s="105">
        <f t="shared" si="28"/>
        <v>117.06841800000005</v>
      </c>
      <c r="S112" s="106">
        <f t="shared" si="29"/>
        <v>26.340394050000011</v>
      </c>
    </row>
    <row r="113" spans="10:19" x14ac:dyDescent="0.35">
      <c r="J113" t="s">
        <v>24</v>
      </c>
      <c r="K113" t="s">
        <v>9</v>
      </c>
      <c r="L113" s="3">
        <f t="shared" si="25"/>
        <v>22</v>
      </c>
      <c r="M113" s="27">
        <f t="shared" si="26"/>
        <v>0.37</v>
      </c>
      <c r="N113" s="3">
        <f t="shared" si="22"/>
        <v>30.14</v>
      </c>
      <c r="O113" s="27">
        <f t="shared" si="27"/>
        <v>1.2999999999999999E-3</v>
      </c>
      <c r="P113" s="27">
        <f t="shared" si="23"/>
        <v>3.8789055194219106E-3</v>
      </c>
      <c r="Q113" s="27">
        <f t="shared" si="24"/>
        <v>5.0425771752484836E-6</v>
      </c>
      <c r="R113" s="105">
        <f t="shared" si="28"/>
        <v>55.802612580000009</v>
      </c>
      <c r="S113" s="106">
        <f t="shared" si="29"/>
        <v>12.555587830500004</v>
      </c>
    </row>
    <row r="114" spans="10:19" x14ac:dyDescent="0.35">
      <c r="J114" t="s">
        <v>25</v>
      </c>
      <c r="K114" t="s">
        <v>10</v>
      </c>
      <c r="L114" s="3">
        <f t="shared" si="25"/>
        <v>15</v>
      </c>
      <c r="M114" s="27">
        <f t="shared" si="26"/>
        <v>0.4</v>
      </c>
      <c r="N114" s="3">
        <f t="shared" si="22"/>
        <v>21</v>
      </c>
      <c r="O114" s="27">
        <f t="shared" si="27"/>
        <v>0.39500000000000002</v>
      </c>
      <c r="P114" s="27">
        <f t="shared" si="23"/>
        <v>2.0343915590256591E-2</v>
      </c>
      <c r="Q114" s="27">
        <f t="shared" si="24"/>
        <v>8.0358466581513539E-3</v>
      </c>
      <c r="R114" s="105">
        <f t="shared" si="28"/>
        <v>61959.751349999991</v>
      </c>
      <c r="S114" s="106">
        <f t="shared" si="29"/>
        <v>13940.944053750001</v>
      </c>
    </row>
    <row r="115" spans="10:19" x14ac:dyDescent="0.35">
      <c r="J115" t="s">
        <v>25</v>
      </c>
      <c r="K115" t="s">
        <v>4</v>
      </c>
      <c r="L115" s="3">
        <f t="shared" si="25"/>
        <v>14.5</v>
      </c>
      <c r="M115" s="27">
        <f t="shared" si="26"/>
        <v>0.4</v>
      </c>
      <c r="N115" s="3">
        <f t="shared" si="22"/>
        <v>20.299999999999997</v>
      </c>
      <c r="O115" s="27">
        <f t="shared" si="27"/>
        <v>0.34260000000000002</v>
      </c>
      <c r="P115" s="27">
        <f t="shared" si="23"/>
        <v>2.0343915590256591E-2</v>
      </c>
      <c r="Q115" s="27">
        <f t="shared" si="24"/>
        <v>6.9698254812219085E-3</v>
      </c>
      <c r="R115" s="105">
        <f t="shared" si="28"/>
        <v>51948.937853399992</v>
      </c>
      <c r="S115" s="106">
        <f t="shared" si="29"/>
        <v>11688.511017014998</v>
      </c>
    </row>
    <row r="116" spans="10:19" x14ac:dyDescent="0.35">
      <c r="J116" t="s">
        <v>25</v>
      </c>
      <c r="K116" t="s">
        <v>3</v>
      </c>
      <c r="L116" s="3">
        <f t="shared" si="25"/>
        <v>16</v>
      </c>
      <c r="M116" s="27">
        <f t="shared" si="26"/>
        <v>0.4</v>
      </c>
      <c r="N116" s="3">
        <f t="shared" si="22"/>
        <v>22.4</v>
      </c>
      <c r="O116" s="27">
        <f t="shared" si="27"/>
        <v>8.5000000000000006E-2</v>
      </c>
      <c r="P116" s="27">
        <f t="shared" si="23"/>
        <v>2.0343915590256591E-2</v>
      </c>
      <c r="Q116" s="27">
        <f t="shared" si="24"/>
        <v>1.7292328251718103E-3</v>
      </c>
      <c r="R116" s="105">
        <f t="shared" si="28"/>
        <v>14221.985119999998</v>
      </c>
      <c r="S116" s="106">
        <f t="shared" si="29"/>
        <v>3199.9466519999996</v>
      </c>
    </row>
    <row r="117" spans="10:19" x14ac:dyDescent="0.35">
      <c r="J117" t="s">
        <v>25</v>
      </c>
      <c r="K117" t="s">
        <v>29</v>
      </c>
      <c r="L117" s="3">
        <f t="shared" si="25"/>
        <v>17</v>
      </c>
      <c r="M117" s="27">
        <f t="shared" si="26"/>
        <v>0.4</v>
      </c>
      <c r="N117" s="3">
        <f t="shared" si="22"/>
        <v>23.799999999999997</v>
      </c>
      <c r="O117" s="27">
        <f t="shared" si="27"/>
        <v>4.8500000000000001E-2</v>
      </c>
      <c r="P117" s="27">
        <f t="shared" si="23"/>
        <v>2.0343915590256591E-2</v>
      </c>
      <c r="Q117" s="27">
        <f t="shared" si="24"/>
        <v>9.8667990612744463E-4</v>
      </c>
      <c r="R117" s="105">
        <f t="shared" si="28"/>
        <v>8622.078478999998</v>
      </c>
      <c r="S117" s="106">
        <f t="shared" si="29"/>
        <v>1939.9676577749999</v>
      </c>
    </row>
    <row r="118" spans="10:19" x14ac:dyDescent="0.35">
      <c r="J118" t="s">
        <v>25</v>
      </c>
      <c r="K118" t="s">
        <v>6</v>
      </c>
      <c r="L118" s="3">
        <f t="shared" si="25"/>
        <v>18</v>
      </c>
      <c r="M118" s="27">
        <f t="shared" si="26"/>
        <v>0.4</v>
      </c>
      <c r="N118" s="3">
        <f t="shared" si="22"/>
        <v>25.2</v>
      </c>
      <c r="O118" s="27">
        <f t="shared" si="27"/>
        <v>4.7199999999999999E-2</v>
      </c>
      <c r="P118" s="27">
        <f t="shared" si="23"/>
        <v>2.0343915590256591E-2</v>
      </c>
      <c r="Q118" s="27">
        <f t="shared" si="24"/>
        <v>9.6023281586011101E-4</v>
      </c>
      <c r="R118" s="105">
        <f t="shared" si="28"/>
        <v>8884.5577631999968</v>
      </c>
      <c r="S118" s="106">
        <f t="shared" si="29"/>
        <v>1999.0254967199996</v>
      </c>
    </row>
    <row r="119" spans="10:19" x14ac:dyDescent="0.35">
      <c r="J119" t="s">
        <v>25</v>
      </c>
      <c r="K119" t="s">
        <v>30</v>
      </c>
      <c r="L119" s="3">
        <f t="shared" si="25"/>
        <v>18</v>
      </c>
      <c r="M119" s="27">
        <f t="shared" si="26"/>
        <v>0.4</v>
      </c>
      <c r="N119" s="3">
        <f t="shared" si="22"/>
        <v>25.2</v>
      </c>
      <c r="O119" s="27">
        <f t="shared" si="27"/>
        <v>3.6999999999999998E-2</v>
      </c>
      <c r="P119" s="27">
        <f t="shared" si="23"/>
        <v>2.0343915590256591E-2</v>
      </c>
      <c r="Q119" s="27">
        <f t="shared" si="24"/>
        <v>7.5272487683949378E-4</v>
      </c>
      <c r="R119" s="105">
        <f t="shared" si="28"/>
        <v>6964.5897719999984</v>
      </c>
      <c r="S119" s="106">
        <f t="shared" si="29"/>
        <v>1567.0326986999996</v>
      </c>
    </row>
    <row r="120" spans="10:19" x14ac:dyDescent="0.35">
      <c r="J120" t="s">
        <v>25</v>
      </c>
      <c r="K120" t="s">
        <v>11</v>
      </c>
      <c r="L120" s="3">
        <f t="shared" si="25"/>
        <v>17</v>
      </c>
      <c r="M120" s="27">
        <f t="shared" si="26"/>
        <v>0.4</v>
      </c>
      <c r="N120" s="3">
        <f t="shared" si="22"/>
        <v>23.799999999999997</v>
      </c>
      <c r="O120" s="27">
        <f t="shared" si="27"/>
        <v>2.8500000000000001E-2</v>
      </c>
      <c r="P120" s="27">
        <f t="shared" si="23"/>
        <v>2.0343915590256591E-2</v>
      </c>
      <c r="Q120" s="27">
        <f t="shared" si="24"/>
        <v>5.7980159432231284E-4</v>
      </c>
      <c r="R120" s="105">
        <f t="shared" si="28"/>
        <v>5066.5821989999986</v>
      </c>
      <c r="S120" s="106">
        <f t="shared" si="29"/>
        <v>1139.9809947749998</v>
      </c>
    </row>
    <row r="121" spans="10:19" x14ac:dyDescent="0.35">
      <c r="J121" t="s">
        <v>25</v>
      </c>
      <c r="K121" t="s">
        <v>5</v>
      </c>
      <c r="L121" s="3">
        <f t="shared" si="25"/>
        <v>19</v>
      </c>
      <c r="M121" s="27">
        <f t="shared" si="26"/>
        <v>0.4</v>
      </c>
      <c r="N121" s="3">
        <f t="shared" si="22"/>
        <v>26.599999999999998</v>
      </c>
      <c r="O121" s="27">
        <f t="shared" si="27"/>
        <v>1.1900000000000001E-2</v>
      </c>
      <c r="P121" s="27">
        <f t="shared" si="23"/>
        <v>2.0343915590256591E-2</v>
      </c>
      <c r="Q121" s="27">
        <f t="shared" si="24"/>
        <v>2.4209259552405345E-4</v>
      </c>
      <c r="R121" s="105">
        <f t="shared" si="28"/>
        <v>2364.4050261999996</v>
      </c>
      <c r="S121" s="106">
        <f t="shared" si="29"/>
        <v>531.99113089500008</v>
      </c>
    </row>
    <row r="122" spans="10:19" x14ac:dyDescent="0.35">
      <c r="J122" t="s">
        <v>25</v>
      </c>
      <c r="K122" t="s">
        <v>7</v>
      </c>
      <c r="L122" s="3">
        <f t="shared" si="25"/>
        <v>20</v>
      </c>
      <c r="M122" s="27">
        <f t="shared" si="26"/>
        <v>0.4</v>
      </c>
      <c r="N122" s="3">
        <f t="shared" si="22"/>
        <v>28</v>
      </c>
      <c r="O122" s="27">
        <f t="shared" si="27"/>
        <v>3.0000000000000001E-3</v>
      </c>
      <c r="P122" s="27">
        <f t="shared" si="23"/>
        <v>2.0343915590256591E-2</v>
      </c>
      <c r="Q122" s="27">
        <f t="shared" si="24"/>
        <v>6.1031746770769773E-5</v>
      </c>
      <c r="R122" s="105">
        <f t="shared" si="28"/>
        <v>627.44051999999988</v>
      </c>
      <c r="S122" s="106">
        <f t="shared" si="29"/>
        <v>141.174117</v>
      </c>
    </row>
    <row r="123" spans="10:19" x14ac:dyDescent="0.35">
      <c r="J123" t="s">
        <v>25</v>
      </c>
      <c r="K123" t="s">
        <v>9</v>
      </c>
      <c r="L123" s="3">
        <f t="shared" si="25"/>
        <v>22</v>
      </c>
      <c r="M123" s="27">
        <f t="shared" si="26"/>
        <v>0.4</v>
      </c>
      <c r="N123" s="3">
        <f t="shared" si="22"/>
        <v>30.799999999999997</v>
      </c>
      <c r="O123" s="27">
        <f t="shared" si="27"/>
        <v>1.2999999999999999E-3</v>
      </c>
      <c r="P123" s="27">
        <f t="shared" si="23"/>
        <v>2.0343915590256591E-2</v>
      </c>
      <c r="Q123" s="27">
        <f t="shared" si="24"/>
        <v>2.6447090267333568E-5</v>
      </c>
      <c r="R123" s="105">
        <f t="shared" si="28"/>
        <v>299.07998119999996</v>
      </c>
      <c r="S123" s="106">
        <f t="shared" si="29"/>
        <v>67.292995770000005</v>
      </c>
    </row>
    <row r="124" spans="10:19" x14ac:dyDescent="0.35">
      <c r="J124" t="s">
        <v>8</v>
      </c>
      <c r="K124" t="s">
        <v>10</v>
      </c>
      <c r="L124" s="3">
        <f t="shared" si="25"/>
        <v>15</v>
      </c>
      <c r="M124" s="27">
        <f t="shared" si="26"/>
        <v>0.33</v>
      </c>
      <c r="N124" s="3">
        <f t="shared" si="22"/>
        <v>19.950000000000003</v>
      </c>
      <c r="O124" s="27">
        <f t="shared" si="27"/>
        <v>0.39500000000000002</v>
      </c>
      <c r="P124" s="27">
        <f t="shared" si="23"/>
        <v>7.610737335160476E-3</v>
      </c>
      <c r="Q124" s="27">
        <f t="shared" si="24"/>
        <v>3.0062412473883882E-3</v>
      </c>
      <c r="R124" s="105">
        <f t="shared" si="28"/>
        <v>22020.41299500001</v>
      </c>
      <c r="S124" s="106">
        <f t="shared" si="29"/>
        <v>4954.5929238750023</v>
      </c>
    </row>
    <row r="125" spans="10:19" x14ac:dyDescent="0.35">
      <c r="J125" t="s">
        <v>8</v>
      </c>
      <c r="K125" t="s">
        <v>4</v>
      </c>
      <c r="L125" s="3">
        <f t="shared" si="25"/>
        <v>14.5</v>
      </c>
      <c r="M125" s="27">
        <f t="shared" si="26"/>
        <v>0.33</v>
      </c>
      <c r="N125" s="3">
        <f t="shared" si="22"/>
        <v>19.285</v>
      </c>
      <c r="O125" s="27">
        <f t="shared" si="27"/>
        <v>0.34260000000000002</v>
      </c>
      <c r="P125" s="27">
        <f t="shared" si="23"/>
        <v>7.610737335160476E-3</v>
      </c>
      <c r="Q125" s="27">
        <f t="shared" si="24"/>
        <v>2.6074386110259791E-3</v>
      </c>
      <c r="R125" s="105">
        <f t="shared" si="28"/>
        <v>18462.583229580003</v>
      </c>
      <c r="S125" s="106">
        <f t="shared" si="29"/>
        <v>4154.0812266555013</v>
      </c>
    </row>
    <row r="126" spans="10:19" x14ac:dyDescent="0.35">
      <c r="J126" t="s">
        <v>8</v>
      </c>
      <c r="K126" t="s">
        <v>3</v>
      </c>
      <c r="L126" s="3">
        <f t="shared" si="25"/>
        <v>16</v>
      </c>
      <c r="M126" s="27">
        <f t="shared" si="26"/>
        <v>0.33</v>
      </c>
      <c r="N126" s="3">
        <f t="shared" si="22"/>
        <v>21.28</v>
      </c>
      <c r="O126" s="27">
        <f t="shared" si="27"/>
        <v>8.5000000000000006E-2</v>
      </c>
      <c r="P126" s="27">
        <f t="shared" si="23"/>
        <v>7.610737335160476E-3</v>
      </c>
      <c r="Q126" s="27">
        <f t="shared" si="24"/>
        <v>6.4691267348864054E-4</v>
      </c>
      <c r="R126" s="105">
        <f t="shared" si="28"/>
        <v>5054.4745440000024</v>
      </c>
      <c r="S126" s="106">
        <f t="shared" si="29"/>
        <v>1137.2567724000005</v>
      </c>
    </row>
    <row r="127" spans="10:19" x14ac:dyDescent="0.35">
      <c r="J127" t="s">
        <v>8</v>
      </c>
      <c r="K127" t="s">
        <v>29</v>
      </c>
      <c r="L127" s="3">
        <f t="shared" si="25"/>
        <v>17</v>
      </c>
      <c r="M127" s="27">
        <f t="shared" si="26"/>
        <v>0.33</v>
      </c>
      <c r="N127" s="3">
        <f t="shared" si="22"/>
        <v>22.61</v>
      </c>
      <c r="O127" s="27">
        <f t="shared" si="27"/>
        <v>4.8500000000000001E-2</v>
      </c>
      <c r="P127" s="27">
        <f t="shared" si="23"/>
        <v>7.610737335160476E-3</v>
      </c>
      <c r="Q127" s="27">
        <f t="shared" si="24"/>
        <v>3.6912076075528311E-4</v>
      </c>
      <c r="R127" s="105">
        <f t="shared" si="28"/>
        <v>3064.275192300001</v>
      </c>
      <c r="S127" s="106">
        <f t="shared" si="29"/>
        <v>689.46191826750021</v>
      </c>
    </row>
    <row r="128" spans="10:19" x14ac:dyDescent="0.35">
      <c r="J128" t="s">
        <v>8</v>
      </c>
      <c r="K128" t="s">
        <v>6</v>
      </c>
      <c r="L128" s="3">
        <f t="shared" si="25"/>
        <v>18</v>
      </c>
      <c r="M128" s="27">
        <f t="shared" si="26"/>
        <v>0.33</v>
      </c>
      <c r="N128" s="3">
        <f t="shared" si="22"/>
        <v>23.94</v>
      </c>
      <c r="O128" s="27">
        <f t="shared" si="27"/>
        <v>4.7199999999999999E-2</v>
      </c>
      <c r="P128" s="27">
        <f t="shared" si="23"/>
        <v>7.610737335160476E-3</v>
      </c>
      <c r="Q128" s="27">
        <f t="shared" si="24"/>
        <v>3.5922680221957444E-4</v>
      </c>
      <c r="R128" s="105">
        <f t="shared" si="28"/>
        <v>3157.5599798400008</v>
      </c>
      <c r="S128" s="106">
        <f t="shared" si="29"/>
        <v>710.45099546400024</v>
      </c>
    </row>
    <row r="129" spans="10:19" x14ac:dyDescent="0.35">
      <c r="J129" t="s">
        <v>8</v>
      </c>
      <c r="K129" t="s">
        <v>30</v>
      </c>
      <c r="L129" s="3">
        <f t="shared" si="25"/>
        <v>18</v>
      </c>
      <c r="M129" s="27">
        <f t="shared" si="26"/>
        <v>0.33</v>
      </c>
      <c r="N129" s="3">
        <f t="shared" si="22"/>
        <v>23.94</v>
      </c>
      <c r="O129" s="27">
        <f t="shared" si="27"/>
        <v>3.6999999999999998E-2</v>
      </c>
      <c r="P129" s="27">
        <f t="shared" si="23"/>
        <v>7.610737335160476E-3</v>
      </c>
      <c r="Q129" s="27">
        <f t="shared" si="24"/>
        <v>2.8159728140093762E-4</v>
      </c>
      <c r="R129" s="105">
        <f t="shared" si="28"/>
        <v>2475.2059164000007</v>
      </c>
      <c r="S129" s="106">
        <f t="shared" si="29"/>
        <v>556.92133119000027</v>
      </c>
    </row>
    <row r="130" spans="10:19" x14ac:dyDescent="0.35">
      <c r="J130" t="s">
        <v>8</v>
      </c>
      <c r="K130" t="s">
        <v>11</v>
      </c>
      <c r="L130" s="3">
        <f t="shared" si="25"/>
        <v>17</v>
      </c>
      <c r="M130" s="27">
        <f t="shared" si="26"/>
        <v>0.33</v>
      </c>
      <c r="N130" s="3">
        <f t="shared" si="22"/>
        <v>22.61</v>
      </c>
      <c r="O130" s="27">
        <f t="shared" si="27"/>
        <v>2.8500000000000001E-2</v>
      </c>
      <c r="P130" s="27">
        <f t="shared" si="23"/>
        <v>7.610737335160476E-3</v>
      </c>
      <c r="Q130" s="27">
        <f t="shared" si="24"/>
        <v>2.1690601405207358E-4</v>
      </c>
      <c r="R130" s="105">
        <f t="shared" si="28"/>
        <v>1800.6565563000004</v>
      </c>
      <c r="S130" s="106">
        <f t="shared" si="29"/>
        <v>405.14772516750014</v>
      </c>
    </row>
    <row r="131" spans="10:19" x14ac:dyDescent="0.35">
      <c r="J131" t="s">
        <v>8</v>
      </c>
      <c r="K131" t="s">
        <v>5</v>
      </c>
      <c r="L131" s="3">
        <f t="shared" si="25"/>
        <v>19</v>
      </c>
      <c r="M131" s="27">
        <f t="shared" si="26"/>
        <v>0.33</v>
      </c>
      <c r="N131" s="3">
        <f t="shared" si="22"/>
        <v>25.270000000000003</v>
      </c>
      <c r="O131" s="27">
        <f t="shared" si="27"/>
        <v>1.1900000000000001E-2</v>
      </c>
      <c r="P131" s="27">
        <f t="shared" si="23"/>
        <v>7.610737335160476E-3</v>
      </c>
      <c r="Q131" s="27">
        <f t="shared" si="24"/>
        <v>9.0567774288409676E-5</v>
      </c>
      <c r="R131" s="105">
        <f t="shared" si="28"/>
        <v>840.30639294000036</v>
      </c>
      <c r="S131" s="106">
        <f t="shared" si="29"/>
        <v>189.06893841150008</v>
      </c>
    </row>
    <row r="132" spans="10:19" x14ac:dyDescent="0.35">
      <c r="J132" t="s">
        <v>8</v>
      </c>
      <c r="K132" t="s">
        <v>7</v>
      </c>
      <c r="L132" s="3">
        <f t="shared" ref="L132:L133" si="30">VLOOKUP(K132,$B$14:$C$23,2,FALSE)</f>
        <v>20</v>
      </c>
      <c r="M132" s="27">
        <f t="shared" si="26"/>
        <v>0.33</v>
      </c>
      <c r="N132" s="3">
        <f t="shared" si="22"/>
        <v>26.6</v>
      </c>
      <c r="O132" s="27">
        <f t="shared" si="27"/>
        <v>3.0000000000000001E-3</v>
      </c>
      <c r="P132" s="27">
        <f t="shared" si="23"/>
        <v>7.610737335160476E-3</v>
      </c>
      <c r="Q132" s="27">
        <f t="shared" si="24"/>
        <v>2.2832212005481429E-5</v>
      </c>
      <c r="R132" s="105">
        <f t="shared" ref="R132:R163" si="31">Q132*$C$3*N132</f>
        <v>222.99152400000008</v>
      </c>
      <c r="S132" s="106">
        <f t="shared" si="29"/>
        <v>50.173092900000022</v>
      </c>
    </row>
    <row r="133" spans="10:19" x14ac:dyDescent="0.35">
      <c r="J133" t="s">
        <v>8</v>
      </c>
      <c r="K133" t="s">
        <v>9</v>
      </c>
      <c r="L133" s="3">
        <f t="shared" si="30"/>
        <v>22</v>
      </c>
      <c r="M133" s="27">
        <f t="shared" si="26"/>
        <v>0.33</v>
      </c>
      <c r="N133" s="3">
        <f t="shared" ref="N133" si="32">L133*(1+M133)</f>
        <v>29.26</v>
      </c>
      <c r="O133" s="27">
        <f t="shared" si="27"/>
        <v>1.2999999999999999E-3</v>
      </c>
      <c r="P133" s="27">
        <f t="shared" ref="P133" si="33">VLOOKUP(J133,$B$28:$H$40,7,FALSE)</f>
        <v>7.610737335160476E-3</v>
      </c>
      <c r="Q133" s="27">
        <f t="shared" ref="Q133" si="34">O133*P133</f>
        <v>9.893958535708619E-6</v>
      </c>
      <c r="R133" s="105">
        <f t="shared" si="31"/>
        <v>106.29262644000002</v>
      </c>
      <c r="S133" s="106">
        <f t="shared" si="29"/>
        <v>23.91584094900001</v>
      </c>
    </row>
    <row r="134" spans="10:19" x14ac:dyDescent="0.35">
      <c r="R134" s="107">
        <f t="shared" ref="R134:S134" si="35">SUM(R4:R133)</f>
        <v>7766439.3129841899</v>
      </c>
      <c r="S134" s="108">
        <f t="shared" si="35"/>
        <v>1747448.8454214421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93670-E6B0-41F4-B9F5-EF5FE25CC959}">
  <sheetPr>
    <tabColor theme="1"/>
  </sheetPr>
  <dimension ref="B2:AE75"/>
  <sheetViews>
    <sheetView showGridLines="0" tabSelected="1" topLeftCell="A31" workbookViewId="0">
      <selection activeCell="R16" sqref="R16"/>
    </sheetView>
  </sheetViews>
  <sheetFormatPr defaultRowHeight="14.5" x14ac:dyDescent="0.35"/>
  <cols>
    <col min="1" max="1" width="1.81640625" customWidth="1"/>
    <col min="2" max="2" width="28.1796875" bestFit="1" customWidth="1"/>
    <col min="3" max="3" width="17.54296875" bestFit="1" customWidth="1"/>
    <col min="4" max="5" width="13.54296875" bestFit="1" customWidth="1"/>
    <col min="6" max="6" width="12.1796875" customWidth="1"/>
    <col min="7" max="9" width="13.54296875" bestFit="1" customWidth="1"/>
    <col min="10" max="10" width="1.81640625" customWidth="1"/>
    <col min="11" max="11" width="10.6328125" bestFit="1" customWidth="1"/>
    <col min="12" max="12" width="15.90625" customWidth="1"/>
    <col min="13" max="13" width="13.6328125" customWidth="1"/>
    <col min="14" max="15" width="11.453125" customWidth="1"/>
    <col min="16" max="16" width="15.1796875" bestFit="1" customWidth="1"/>
    <col min="17" max="17" width="15.08984375" bestFit="1" customWidth="1"/>
    <col min="18" max="18" width="16.08984375" bestFit="1" customWidth="1"/>
    <col min="19" max="19" width="19.90625" customWidth="1"/>
    <col min="20" max="20" width="11.453125" bestFit="1" customWidth="1"/>
    <col min="21" max="21" width="11.54296875" bestFit="1" customWidth="1"/>
    <col min="22" max="22" width="13.90625" bestFit="1" customWidth="1"/>
    <col min="23" max="23" width="11.54296875" bestFit="1" customWidth="1"/>
    <col min="24" max="25" width="15.08984375" bestFit="1" customWidth="1"/>
    <col min="26" max="26" width="16.08984375" bestFit="1" customWidth="1"/>
    <col min="27" max="27" width="1.81640625" customWidth="1"/>
  </cols>
  <sheetData>
    <row r="2" spans="2:13" x14ac:dyDescent="0.35">
      <c r="B2" s="32" t="s">
        <v>156</v>
      </c>
      <c r="C2" s="33"/>
    </row>
    <row r="3" spans="2:13" x14ac:dyDescent="0.35">
      <c r="B3" s="30" t="s">
        <v>74</v>
      </c>
      <c r="C3" s="91">
        <f>C4+C5</f>
        <v>5066847.3108179998</v>
      </c>
    </row>
    <row r="4" spans="2:13" x14ac:dyDescent="0.35">
      <c r="B4" s="30" t="s">
        <v>39</v>
      </c>
      <c r="C4" s="92">
        <f>'Business Baseline'!E41*12</f>
        <v>4405954.1833199998</v>
      </c>
    </row>
    <row r="5" spans="2:13" x14ac:dyDescent="0.35">
      <c r="B5" s="31" t="s">
        <v>40</v>
      </c>
      <c r="C5" s="93">
        <f>'Business Baseline'!G41*12</f>
        <v>660893.12749800005</v>
      </c>
    </row>
    <row r="7" spans="2:13" x14ac:dyDescent="0.35">
      <c r="B7" s="26" t="s">
        <v>54</v>
      </c>
    </row>
    <row r="8" spans="2:13" x14ac:dyDescent="0.35">
      <c r="B8" s="43" t="s">
        <v>153</v>
      </c>
    </row>
    <row r="10" spans="2:13" x14ac:dyDescent="0.35">
      <c r="B10" s="12" t="s">
        <v>65</v>
      </c>
      <c r="C10" s="12"/>
      <c r="D10" s="12"/>
      <c r="E10" s="12"/>
      <c r="F10" s="12"/>
      <c r="G10" s="12"/>
      <c r="H10" s="12"/>
      <c r="I10" s="12"/>
    </row>
    <row r="11" spans="2:13" x14ac:dyDescent="0.35">
      <c r="B11" s="5"/>
      <c r="C11" s="53" t="s">
        <v>146</v>
      </c>
      <c r="D11" s="64" t="s">
        <v>154</v>
      </c>
      <c r="E11" s="52"/>
      <c r="F11" s="65"/>
      <c r="G11" s="52" t="s">
        <v>155</v>
      </c>
      <c r="H11" s="52"/>
      <c r="I11" s="65"/>
    </row>
    <row r="12" spans="2:13" x14ac:dyDescent="0.35">
      <c r="C12" s="34" t="s">
        <v>62</v>
      </c>
      <c r="D12" s="66" t="s">
        <v>62</v>
      </c>
      <c r="E12" s="34" t="s">
        <v>63</v>
      </c>
      <c r="F12" s="67" t="s">
        <v>64</v>
      </c>
      <c r="G12" s="34" t="s">
        <v>62</v>
      </c>
      <c r="H12" s="34" t="s">
        <v>63</v>
      </c>
      <c r="I12" s="67" t="s">
        <v>64</v>
      </c>
      <c r="L12" s="188" t="s">
        <v>71</v>
      </c>
      <c r="M12" s="188"/>
    </row>
    <row r="13" spans="2:13" x14ac:dyDescent="0.35">
      <c r="B13" s="16" t="s">
        <v>49</v>
      </c>
      <c r="C13" s="39" t="e">
        <f>ROUND(G35,-5)</f>
        <v>#REF!</v>
      </c>
      <c r="D13" s="68">
        <f>ROUND(G49,-5)</f>
        <v>92200000</v>
      </c>
      <c r="E13" s="39" t="e">
        <f>D13-C13</f>
        <v>#REF!</v>
      </c>
      <c r="F13" s="69" t="e">
        <f>E13/C13</f>
        <v>#REF!</v>
      </c>
      <c r="G13" s="39">
        <f>ROUND(G63,-5)</f>
        <v>92200000</v>
      </c>
      <c r="H13" s="39" t="e">
        <f>G13-C13</f>
        <v>#REF!</v>
      </c>
      <c r="I13" s="69" t="e">
        <f>H13/C13</f>
        <v>#REF!</v>
      </c>
      <c r="L13" t="s">
        <v>72</v>
      </c>
      <c r="M13" s="2">
        <v>-0.02</v>
      </c>
    </row>
    <row r="14" spans="2:13" x14ac:dyDescent="0.35">
      <c r="B14" s="37" t="s">
        <v>50</v>
      </c>
      <c r="C14" s="49" t="e">
        <f>ROUND(H35,-5)</f>
        <v>#REF!</v>
      </c>
      <c r="D14" s="70">
        <f>ROUND(H49,-5)</f>
        <v>20800000</v>
      </c>
      <c r="E14" s="49" t="e">
        <f>D14-C14</f>
        <v>#REF!</v>
      </c>
      <c r="F14" s="71" t="e">
        <f>E14/C14</f>
        <v>#REF!</v>
      </c>
      <c r="G14" s="49">
        <f>ROUND(H63,-5)</f>
        <v>20800000</v>
      </c>
      <c r="H14" s="49" t="e">
        <f>G14-C14</f>
        <v>#REF!</v>
      </c>
      <c r="I14" s="71" t="e">
        <f>H14/C14</f>
        <v>#REF!</v>
      </c>
      <c r="L14" t="s">
        <v>73</v>
      </c>
      <c r="M14" s="13">
        <v>0.05</v>
      </c>
    </row>
    <row r="15" spans="2:13" x14ac:dyDescent="0.35">
      <c r="B15" s="5" t="s">
        <v>58</v>
      </c>
      <c r="C15" s="48" t="e">
        <f>SUM(C13:C14)</f>
        <v>#REF!</v>
      </c>
      <c r="D15" s="72">
        <f t="shared" ref="D15" si="0">SUM(D13:D14)</f>
        <v>113000000</v>
      </c>
      <c r="E15" s="48" t="e">
        <f>D15-C15</f>
        <v>#REF!</v>
      </c>
      <c r="F15" s="73" t="e">
        <f>E15/C15</f>
        <v>#REF!</v>
      </c>
      <c r="G15" s="48">
        <f>SUM(G13:G14)</f>
        <v>113000000</v>
      </c>
      <c r="H15" s="48" t="e">
        <f>G15-C15</f>
        <v>#REF!</v>
      </c>
      <c r="I15" s="73" t="e">
        <f>H15/C15</f>
        <v>#REF!</v>
      </c>
      <c r="L15" t="s">
        <v>75</v>
      </c>
      <c r="M15" s="28">
        <v>4615760.9523809515</v>
      </c>
    </row>
    <row r="16" spans="2:13" x14ac:dyDescent="0.35">
      <c r="B16" s="16" t="s">
        <v>59</v>
      </c>
      <c r="C16" s="39">
        <v>0</v>
      </c>
      <c r="D16" s="68">
        <v>0</v>
      </c>
      <c r="F16" s="69"/>
      <c r="G16" s="39">
        <v>0</v>
      </c>
      <c r="I16" s="69"/>
      <c r="L16" t="s">
        <v>40</v>
      </c>
      <c r="M16" s="74">
        <f>M15*M14</f>
        <v>230788.04761904757</v>
      </c>
    </row>
    <row r="17" spans="2:26" x14ac:dyDescent="0.35">
      <c r="B17" s="37" t="s">
        <v>60</v>
      </c>
      <c r="C17" s="49">
        <v>0</v>
      </c>
      <c r="D17" s="70">
        <v>85000</v>
      </c>
      <c r="E17" s="50"/>
      <c r="F17" s="71"/>
      <c r="G17" s="49">
        <v>0</v>
      </c>
      <c r="H17" s="50"/>
      <c r="I17" s="71"/>
      <c r="L17" t="s">
        <v>74</v>
      </c>
      <c r="M17" s="75">
        <f>M15+M16</f>
        <v>4846548.9999999991</v>
      </c>
    </row>
    <row r="18" spans="2:26" x14ac:dyDescent="0.35">
      <c r="B18" s="5" t="s">
        <v>61</v>
      </c>
      <c r="C18" s="48" t="e">
        <f>SUM(C16:C17,C15)</f>
        <v>#REF!</v>
      </c>
      <c r="D18" s="72">
        <f>SUM(D16:D17,D15)</f>
        <v>113085000</v>
      </c>
      <c r="E18" s="48" t="e">
        <f>D18-C18</f>
        <v>#REF!</v>
      </c>
      <c r="F18" s="73" t="e">
        <f>E18/C18</f>
        <v>#REF!</v>
      </c>
      <c r="G18" s="48">
        <f>SUM(G16:G17,G15)</f>
        <v>113000000</v>
      </c>
      <c r="H18" s="48" t="e">
        <f>G18-C18</f>
        <v>#REF!</v>
      </c>
      <c r="I18" s="73" t="e">
        <f>H18/C18</f>
        <v>#REF!</v>
      </c>
      <c r="L18" t="s">
        <v>77</v>
      </c>
      <c r="M18" s="2">
        <v>0.25</v>
      </c>
    </row>
    <row r="19" spans="2:26" x14ac:dyDescent="0.35">
      <c r="B19" s="5"/>
      <c r="C19" s="48"/>
      <c r="D19" s="39"/>
      <c r="E19" s="48"/>
      <c r="F19" s="48"/>
      <c r="G19" s="51"/>
      <c r="H19" s="39"/>
      <c r="I19" s="48"/>
      <c r="J19" s="48"/>
      <c r="K19" s="51"/>
    </row>
    <row r="20" spans="2:26" ht="15" thickBot="1" x14ac:dyDescent="0.4"/>
    <row r="21" spans="2:26" x14ac:dyDescent="0.35">
      <c r="I21" s="63" t="s">
        <v>68</v>
      </c>
      <c r="R21" s="63" t="s">
        <v>69</v>
      </c>
      <c r="Z21" s="63" t="s">
        <v>70</v>
      </c>
    </row>
    <row r="22" spans="2:26" x14ac:dyDescent="0.35">
      <c r="I22" s="56"/>
      <c r="R22" s="56"/>
      <c r="Z22" s="56"/>
    </row>
    <row r="23" spans="2:26" x14ac:dyDescent="0.35">
      <c r="B23" s="12"/>
      <c r="C23" s="41" t="s">
        <v>152</v>
      </c>
      <c r="D23" s="41"/>
      <c r="E23" s="40"/>
      <c r="F23" s="40"/>
      <c r="G23" s="41"/>
      <c r="H23" s="41"/>
      <c r="I23" s="57"/>
      <c r="K23" s="5" t="s">
        <v>157</v>
      </c>
      <c r="R23" s="57"/>
      <c r="S23" s="5" t="s">
        <v>157</v>
      </c>
      <c r="Z23" s="57"/>
    </row>
    <row r="24" spans="2:26" x14ac:dyDescent="0.35">
      <c r="B24" s="5"/>
      <c r="C24" s="6" t="s">
        <v>53</v>
      </c>
      <c r="D24" s="6" t="s">
        <v>33</v>
      </c>
      <c r="E24" s="6" t="s">
        <v>51</v>
      </c>
      <c r="F24" s="6" t="s">
        <v>52</v>
      </c>
      <c r="G24" s="6" t="s">
        <v>49</v>
      </c>
      <c r="H24" s="6" t="s">
        <v>50</v>
      </c>
      <c r="I24" s="58" t="s">
        <v>67</v>
      </c>
      <c r="J24" s="6"/>
      <c r="K24" s="6" t="s">
        <v>53</v>
      </c>
      <c r="L24" s="6" t="s">
        <v>33</v>
      </c>
      <c r="N24" s="6" t="s">
        <v>51</v>
      </c>
      <c r="O24" s="6" t="s">
        <v>52</v>
      </c>
      <c r="P24" s="6" t="s">
        <v>49</v>
      </c>
      <c r="Q24" s="6" t="s">
        <v>50</v>
      </c>
      <c r="R24" s="58" t="s">
        <v>76</v>
      </c>
      <c r="S24" s="6" t="s">
        <v>53</v>
      </c>
      <c r="T24" s="6" t="s">
        <v>33</v>
      </c>
      <c r="V24" s="6" t="s">
        <v>51</v>
      </c>
      <c r="W24" s="6" t="s">
        <v>52</v>
      </c>
      <c r="X24" s="6" t="s">
        <v>49</v>
      </c>
      <c r="Y24" s="6" t="s">
        <v>50</v>
      </c>
      <c r="Z24" s="58" t="s">
        <v>76</v>
      </c>
    </row>
    <row r="25" spans="2:26" x14ac:dyDescent="0.35">
      <c r="B25" t="s">
        <v>10</v>
      </c>
      <c r="C25" s="46">
        <f>VLOOKUP($B25,'Business Baseline'!$B$14:$D$23,3,FALSE)</f>
        <v>0.39500000000000002</v>
      </c>
      <c r="D25" s="55">
        <f>VLOOKUP($B25,'Business Baseline'!$B$14:$C$23,2,FALSE)</f>
        <v>15</v>
      </c>
      <c r="E25" s="47">
        <f t="shared" ref="E25:E34" si="1">C25*$C$4</f>
        <v>1740351.9024114001</v>
      </c>
      <c r="F25" s="47">
        <f t="shared" ref="F25:F34" si="2">C25*$C$5</f>
        <v>261052.78536171003</v>
      </c>
      <c r="G25" s="28" t="e">
        <f>SUMIF('Business Baseline'!$K:$K,$B25,'Business Baseline'!#REF!)</f>
        <v>#REF!</v>
      </c>
      <c r="H25" s="28" t="e">
        <f>SUMIF('Business Baseline'!$K:$K,$B25,'Business Baseline'!#REF!)</f>
        <v>#REF!</v>
      </c>
      <c r="I25" s="59" t="e">
        <f t="shared" ref="I25:I34" si="3">SUM(G25:H25)</f>
        <v>#REF!</v>
      </c>
      <c r="J25" s="28"/>
      <c r="K25" s="46">
        <f>VLOOKUP($B25,'Business Baseline'!$B$14:$D$23,3,FALSE)</f>
        <v>0.39500000000000002</v>
      </c>
      <c r="L25" s="55">
        <f>VLOOKUP($B25,'Business Baseline'!$B$14:$C$23,2,FALSE)</f>
        <v>15</v>
      </c>
      <c r="M25" s="55"/>
      <c r="N25" s="47">
        <f t="shared" ref="N25:N34" si="4">K25*$C$4</f>
        <v>1740351.9024114001</v>
      </c>
      <c r="O25" s="47">
        <f t="shared" ref="O25:O34" si="5">K25*$C$5</f>
        <v>261052.78536171003</v>
      </c>
      <c r="P25" s="1" t="e">
        <f>SUMIF('Business Baseline'!$K:$K,$B25,'Business Baseline'!#REF!)</f>
        <v>#REF!</v>
      </c>
      <c r="Q25" s="1" t="e">
        <f>SUMIF('Business Baseline'!$K:$K,$B25,'Business Baseline'!#REF!)</f>
        <v>#REF!</v>
      </c>
      <c r="R25" s="59" t="e">
        <f t="shared" ref="R25:R34" si="6">SUM(P25:Q25)</f>
        <v>#REF!</v>
      </c>
      <c r="S25" s="46">
        <f>VLOOKUP($B25,'Business Baseline'!$B$14:$D$23,3,FALSE)</f>
        <v>0.39500000000000002</v>
      </c>
      <c r="T25" s="55">
        <f>VLOOKUP($B25,'Business Baseline'!$B$14:$C$23,2,FALSE)</f>
        <v>15</v>
      </c>
      <c r="U25" s="55"/>
      <c r="V25" s="47">
        <f t="shared" ref="V25:V34" si="7">S25*$C$4</f>
        <v>1740351.9024114001</v>
      </c>
      <c r="W25" s="47">
        <f t="shared" ref="W25:W34" si="8">S25*$C$5</f>
        <v>261052.78536171003</v>
      </c>
      <c r="X25" s="1" t="e">
        <f>SUMIF('Business Baseline'!$K:$K,$B25,'Business Baseline'!#REF!)</f>
        <v>#REF!</v>
      </c>
      <c r="Y25" s="1" t="e">
        <f>SUMIF('Business Baseline'!$K:$K,$B25,'Business Baseline'!#REF!)</f>
        <v>#REF!</v>
      </c>
      <c r="Z25" s="59" t="e">
        <f t="shared" ref="Z25:Z34" si="9">SUM(X25:Y25)</f>
        <v>#REF!</v>
      </c>
    </row>
    <row r="26" spans="2:26" x14ac:dyDescent="0.35">
      <c r="B26" t="s">
        <v>4</v>
      </c>
      <c r="C26" s="46">
        <f>VLOOKUP($B26,'Business Baseline'!$B$14:$D$23,3,FALSE)</f>
        <v>0.34260000000000002</v>
      </c>
      <c r="D26" s="55">
        <f>VLOOKUP($B26,'Business Baseline'!$B$14:$C$23,2,FALSE)</f>
        <v>14.5</v>
      </c>
      <c r="E26" s="47">
        <f t="shared" si="1"/>
        <v>1509479.903205432</v>
      </c>
      <c r="F26" s="47">
        <f t="shared" si="2"/>
        <v>226421.98548081482</v>
      </c>
      <c r="G26" s="28" t="e">
        <f>SUMIF('Business Baseline'!$K:$K,$B26,'Business Baseline'!#REF!)</f>
        <v>#REF!</v>
      </c>
      <c r="H26" s="28" t="e">
        <f>SUMIF('Business Baseline'!$K:$K,$B26,'Business Baseline'!#REF!)</f>
        <v>#REF!</v>
      </c>
      <c r="I26" s="59" t="e">
        <f t="shared" si="3"/>
        <v>#REF!</v>
      </c>
      <c r="J26" s="28"/>
      <c r="K26" s="46">
        <f>VLOOKUP($B26,'Business Baseline'!$B$14:$D$23,3,FALSE)</f>
        <v>0.34260000000000002</v>
      </c>
      <c r="L26" s="55">
        <f>VLOOKUP($B26,'Business Baseline'!$B$14:$C$23,2,FALSE)</f>
        <v>14.5</v>
      </c>
      <c r="M26" s="55"/>
      <c r="N26" s="47">
        <f t="shared" si="4"/>
        <v>1509479.903205432</v>
      </c>
      <c r="O26" s="47">
        <f t="shared" si="5"/>
        <v>226421.98548081482</v>
      </c>
      <c r="P26" s="1" t="e">
        <f>SUMIF('Business Baseline'!$K:$K,$B26,'Business Baseline'!#REF!)</f>
        <v>#REF!</v>
      </c>
      <c r="Q26" s="1" t="e">
        <f>SUMIF('Business Baseline'!$K:$K,$B26,'Business Baseline'!#REF!)</f>
        <v>#REF!</v>
      </c>
      <c r="R26" s="59" t="e">
        <f t="shared" si="6"/>
        <v>#REF!</v>
      </c>
      <c r="S26" s="46">
        <f>VLOOKUP($B26,'Business Baseline'!$B$14:$D$23,3,FALSE)</f>
        <v>0.34260000000000002</v>
      </c>
      <c r="T26" s="55">
        <f>VLOOKUP($B26,'Business Baseline'!$B$14:$C$23,2,FALSE)</f>
        <v>14.5</v>
      </c>
      <c r="U26" s="55"/>
      <c r="V26" s="47">
        <f t="shared" si="7"/>
        <v>1509479.903205432</v>
      </c>
      <c r="W26" s="47">
        <f t="shared" si="8"/>
        <v>226421.98548081482</v>
      </c>
      <c r="X26" s="1" t="e">
        <f>SUMIF('Business Baseline'!$K:$K,$B26,'Business Baseline'!#REF!)</f>
        <v>#REF!</v>
      </c>
      <c r="Y26" s="1" t="e">
        <f>SUMIF('Business Baseline'!$K:$K,$B26,'Business Baseline'!#REF!)</f>
        <v>#REF!</v>
      </c>
      <c r="Z26" s="59" t="e">
        <f t="shared" si="9"/>
        <v>#REF!</v>
      </c>
    </row>
    <row r="27" spans="2:26" x14ac:dyDescent="0.35">
      <c r="B27" t="s">
        <v>3</v>
      </c>
      <c r="C27" s="46">
        <f>VLOOKUP($B27,'Business Baseline'!$B$14:$D$23,3,FALSE)</f>
        <v>8.5000000000000006E-2</v>
      </c>
      <c r="D27" s="55">
        <f>VLOOKUP($B27,'Business Baseline'!$B$14:$C$23,2,FALSE)</f>
        <v>16</v>
      </c>
      <c r="E27" s="47">
        <f t="shared" si="1"/>
        <v>374506.10558219999</v>
      </c>
      <c r="F27" s="47">
        <f t="shared" si="2"/>
        <v>56175.915837330009</v>
      </c>
      <c r="G27" s="28" t="e">
        <f>SUMIF('Business Baseline'!$K:$K,$B27,'Business Baseline'!#REF!)</f>
        <v>#REF!</v>
      </c>
      <c r="H27" s="28" t="e">
        <f>SUMIF('Business Baseline'!$K:$K,$B27,'Business Baseline'!#REF!)</f>
        <v>#REF!</v>
      </c>
      <c r="I27" s="59" t="e">
        <f t="shared" si="3"/>
        <v>#REF!</v>
      </c>
      <c r="J27" s="28"/>
      <c r="K27" s="46">
        <f>VLOOKUP($B27,'Business Baseline'!$B$14:$D$23,3,FALSE)</f>
        <v>8.5000000000000006E-2</v>
      </c>
      <c r="L27" s="55">
        <f>VLOOKUP($B27,'Business Baseline'!$B$14:$C$23,2,FALSE)</f>
        <v>16</v>
      </c>
      <c r="M27" s="55"/>
      <c r="N27" s="47">
        <f t="shared" si="4"/>
        <v>374506.10558219999</v>
      </c>
      <c r="O27" s="47">
        <f t="shared" si="5"/>
        <v>56175.915837330009</v>
      </c>
      <c r="P27" s="1" t="e">
        <f>SUMIF('Business Baseline'!$K:$K,$B27,'Business Baseline'!#REF!)</f>
        <v>#REF!</v>
      </c>
      <c r="Q27" s="1" t="e">
        <f>SUMIF('Business Baseline'!$K:$K,$B27,'Business Baseline'!#REF!)</f>
        <v>#REF!</v>
      </c>
      <c r="R27" s="59" t="e">
        <f t="shared" si="6"/>
        <v>#REF!</v>
      </c>
      <c r="S27" s="46">
        <f>VLOOKUP($B27,'Business Baseline'!$B$14:$D$23,3,FALSE)</f>
        <v>8.5000000000000006E-2</v>
      </c>
      <c r="T27" s="55">
        <f>VLOOKUP($B27,'Business Baseline'!$B$14:$C$23,2,FALSE)</f>
        <v>16</v>
      </c>
      <c r="U27" s="55"/>
      <c r="V27" s="47">
        <f t="shared" si="7"/>
        <v>374506.10558219999</v>
      </c>
      <c r="W27" s="47">
        <f t="shared" si="8"/>
        <v>56175.915837330009</v>
      </c>
      <c r="X27" s="1" t="e">
        <f>SUMIF('Business Baseline'!$K:$K,$B27,'Business Baseline'!#REF!)</f>
        <v>#REF!</v>
      </c>
      <c r="Y27" s="1" t="e">
        <f>SUMIF('Business Baseline'!$K:$K,$B27,'Business Baseline'!#REF!)</f>
        <v>#REF!</v>
      </c>
      <c r="Z27" s="59" t="e">
        <f t="shared" si="9"/>
        <v>#REF!</v>
      </c>
    </row>
    <row r="28" spans="2:26" x14ac:dyDescent="0.35">
      <c r="B28" t="s">
        <v>29</v>
      </c>
      <c r="C28" s="46">
        <f>VLOOKUP($B28,'Business Baseline'!$B$14:$D$23,3,FALSE)</f>
        <v>4.8500000000000001E-2</v>
      </c>
      <c r="D28" s="55">
        <f>VLOOKUP($B28,'Business Baseline'!$B$14:$C$23,2,FALSE)</f>
        <v>17</v>
      </c>
      <c r="E28" s="47">
        <f t="shared" si="1"/>
        <v>213688.77789102</v>
      </c>
      <c r="F28" s="47">
        <f t="shared" si="2"/>
        <v>32053.316683653004</v>
      </c>
      <c r="G28" s="28" t="e">
        <f>SUMIF('Business Baseline'!$K:$K,$B28,'Business Baseline'!#REF!)</f>
        <v>#REF!</v>
      </c>
      <c r="H28" s="28" t="e">
        <f>SUMIF('Business Baseline'!$K:$K,$B28,'Business Baseline'!#REF!)</f>
        <v>#REF!</v>
      </c>
      <c r="I28" s="59" t="e">
        <f t="shared" si="3"/>
        <v>#REF!</v>
      </c>
      <c r="J28" s="28"/>
      <c r="K28" s="46">
        <f>VLOOKUP($B28,'Business Baseline'!$B$14:$D$23,3,FALSE)</f>
        <v>4.8500000000000001E-2</v>
      </c>
      <c r="L28" s="55">
        <f>VLOOKUP($B28,'Business Baseline'!$B$14:$C$23,2,FALSE)</f>
        <v>17</v>
      </c>
      <c r="M28" s="55"/>
      <c r="N28" s="47">
        <f t="shared" si="4"/>
        <v>213688.77789102</v>
      </c>
      <c r="O28" s="47">
        <f t="shared" si="5"/>
        <v>32053.316683653004</v>
      </c>
      <c r="P28" s="1" t="e">
        <f>SUMIF('Business Baseline'!$K:$K,$B28,'Business Baseline'!#REF!)</f>
        <v>#REF!</v>
      </c>
      <c r="Q28" s="1" t="e">
        <f>SUMIF('Business Baseline'!$K:$K,$B28,'Business Baseline'!#REF!)</f>
        <v>#REF!</v>
      </c>
      <c r="R28" s="59" t="e">
        <f t="shared" si="6"/>
        <v>#REF!</v>
      </c>
      <c r="S28" s="46">
        <f>VLOOKUP($B28,'Business Baseline'!$B$14:$D$23,3,FALSE)</f>
        <v>4.8500000000000001E-2</v>
      </c>
      <c r="T28" s="55">
        <f>VLOOKUP($B28,'Business Baseline'!$B$14:$C$23,2,FALSE)</f>
        <v>17</v>
      </c>
      <c r="U28" s="55"/>
      <c r="V28" s="47">
        <f t="shared" si="7"/>
        <v>213688.77789102</v>
      </c>
      <c r="W28" s="47">
        <f t="shared" si="8"/>
        <v>32053.316683653004</v>
      </c>
      <c r="X28" s="1" t="e">
        <f>SUMIF('Business Baseline'!$K:$K,$B28,'Business Baseline'!#REF!)</f>
        <v>#REF!</v>
      </c>
      <c r="Y28" s="1" t="e">
        <f>SUMIF('Business Baseline'!$K:$K,$B28,'Business Baseline'!#REF!)</f>
        <v>#REF!</v>
      </c>
      <c r="Z28" s="59" t="e">
        <f t="shared" si="9"/>
        <v>#REF!</v>
      </c>
    </row>
    <row r="29" spans="2:26" x14ac:dyDescent="0.35">
      <c r="B29" t="s">
        <v>6</v>
      </c>
      <c r="C29" s="46">
        <f>VLOOKUP($B29,'Business Baseline'!$B$14:$D$23,3,FALSE)</f>
        <v>4.7199999999999999E-2</v>
      </c>
      <c r="D29" s="55">
        <f>VLOOKUP($B29,'Business Baseline'!$B$14:$C$23,2,FALSE)</f>
        <v>18</v>
      </c>
      <c r="E29" s="47">
        <f t="shared" si="1"/>
        <v>207961.03745270398</v>
      </c>
      <c r="F29" s="47">
        <f t="shared" si="2"/>
        <v>31194.155617905602</v>
      </c>
      <c r="G29" s="28" t="e">
        <f>SUMIF('Business Baseline'!$K:$K,$B29,'Business Baseline'!#REF!)</f>
        <v>#REF!</v>
      </c>
      <c r="H29" s="28" t="e">
        <f>SUMIF('Business Baseline'!$K:$K,$B29,'Business Baseline'!#REF!)</f>
        <v>#REF!</v>
      </c>
      <c r="I29" s="59" t="e">
        <f t="shared" si="3"/>
        <v>#REF!</v>
      </c>
      <c r="J29" s="28"/>
      <c r="K29" s="46">
        <f>VLOOKUP($B29,'Business Baseline'!$B$14:$D$23,3,FALSE)</f>
        <v>4.7199999999999999E-2</v>
      </c>
      <c r="L29" s="55">
        <f>VLOOKUP($B29,'Business Baseline'!$B$14:$C$23,2,FALSE)</f>
        <v>18</v>
      </c>
      <c r="M29" s="55"/>
      <c r="N29" s="47">
        <f t="shared" si="4"/>
        <v>207961.03745270398</v>
      </c>
      <c r="O29" s="47">
        <f t="shared" si="5"/>
        <v>31194.155617905602</v>
      </c>
      <c r="P29" s="1" t="e">
        <f>SUMIF('Business Baseline'!$K:$K,$B29,'Business Baseline'!#REF!)</f>
        <v>#REF!</v>
      </c>
      <c r="Q29" s="1" t="e">
        <f>SUMIF('Business Baseline'!$K:$K,$B29,'Business Baseline'!#REF!)</f>
        <v>#REF!</v>
      </c>
      <c r="R29" s="59" t="e">
        <f t="shared" si="6"/>
        <v>#REF!</v>
      </c>
      <c r="S29" s="46">
        <f>VLOOKUP($B29,'Business Baseline'!$B$14:$D$23,3,FALSE)</f>
        <v>4.7199999999999999E-2</v>
      </c>
      <c r="T29" s="55">
        <f>VLOOKUP($B29,'Business Baseline'!$B$14:$C$23,2,FALSE)</f>
        <v>18</v>
      </c>
      <c r="U29" s="55"/>
      <c r="V29" s="47">
        <f t="shared" si="7"/>
        <v>207961.03745270398</v>
      </c>
      <c r="W29" s="47">
        <f t="shared" si="8"/>
        <v>31194.155617905602</v>
      </c>
      <c r="X29" s="1" t="e">
        <f>SUMIF('Business Baseline'!$K:$K,$B29,'Business Baseline'!#REF!)</f>
        <v>#REF!</v>
      </c>
      <c r="Y29" s="1" t="e">
        <f>SUMIF('Business Baseline'!$K:$K,$B29,'Business Baseline'!#REF!)</f>
        <v>#REF!</v>
      </c>
      <c r="Z29" s="59" t="e">
        <f t="shared" si="9"/>
        <v>#REF!</v>
      </c>
    </row>
    <row r="30" spans="2:26" x14ac:dyDescent="0.35">
      <c r="B30" t="s">
        <v>30</v>
      </c>
      <c r="C30" s="46">
        <f>VLOOKUP($B30,'Business Baseline'!$B$14:$D$23,3,FALSE)</f>
        <v>3.6999999999999998E-2</v>
      </c>
      <c r="D30" s="55">
        <f>VLOOKUP($B30,'Business Baseline'!$B$14:$C$23,2,FALSE)</f>
        <v>18</v>
      </c>
      <c r="E30" s="47">
        <f t="shared" si="1"/>
        <v>163020.30478283999</v>
      </c>
      <c r="F30" s="47">
        <f t="shared" si="2"/>
        <v>24453.045717426001</v>
      </c>
      <c r="G30" s="28" t="e">
        <f>SUMIF('Business Baseline'!$K:$K,$B30,'Business Baseline'!#REF!)</f>
        <v>#REF!</v>
      </c>
      <c r="H30" s="28" t="e">
        <f>SUMIF('Business Baseline'!$K:$K,$B30,'Business Baseline'!#REF!)</f>
        <v>#REF!</v>
      </c>
      <c r="I30" s="59" t="e">
        <f t="shared" si="3"/>
        <v>#REF!</v>
      </c>
      <c r="J30" s="28"/>
      <c r="K30" s="46">
        <f>VLOOKUP($B30,'Business Baseline'!$B$14:$D$23,3,FALSE)</f>
        <v>3.6999999999999998E-2</v>
      </c>
      <c r="L30" s="55">
        <f>VLOOKUP($B30,'Business Baseline'!$B$14:$C$23,2,FALSE)</f>
        <v>18</v>
      </c>
      <c r="M30" s="55"/>
      <c r="N30" s="47">
        <f t="shared" si="4"/>
        <v>163020.30478283999</v>
      </c>
      <c r="O30" s="47">
        <f t="shared" si="5"/>
        <v>24453.045717426001</v>
      </c>
      <c r="P30" s="1" t="e">
        <f>SUMIF('Business Baseline'!$K:$K,$B30,'Business Baseline'!#REF!)</f>
        <v>#REF!</v>
      </c>
      <c r="Q30" s="1" t="e">
        <f>SUMIF('Business Baseline'!$K:$K,$B30,'Business Baseline'!#REF!)</f>
        <v>#REF!</v>
      </c>
      <c r="R30" s="59" t="e">
        <f t="shared" si="6"/>
        <v>#REF!</v>
      </c>
      <c r="S30" s="46">
        <f>VLOOKUP($B30,'Business Baseline'!$B$14:$D$23,3,FALSE)</f>
        <v>3.6999999999999998E-2</v>
      </c>
      <c r="T30" s="55">
        <f>VLOOKUP($B30,'Business Baseline'!$B$14:$C$23,2,FALSE)</f>
        <v>18</v>
      </c>
      <c r="U30" s="55"/>
      <c r="V30" s="47">
        <f t="shared" si="7"/>
        <v>163020.30478283999</v>
      </c>
      <c r="W30" s="47">
        <f t="shared" si="8"/>
        <v>24453.045717426001</v>
      </c>
      <c r="X30" s="1" t="e">
        <f>SUMIF('Business Baseline'!$K:$K,$B30,'Business Baseline'!#REF!)</f>
        <v>#REF!</v>
      </c>
      <c r="Y30" s="1" t="e">
        <f>SUMIF('Business Baseline'!$K:$K,$B30,'Business Baseline'!#REF!)</f>
        <v>#REF!</v>
      </c>
      <c r="Z30" s="59" t="e">
        <f t="shared" si="9"/>
        <v>#REF!</v>
      </c>
    </row>
    <row r="31" spans="2:26" x14ac:dyDescent="0.35">
      <c r="B31" t="s">
        <v>11</v>
      </c>
      <c r="C31" s="46">
        <f>VLOOKUP($B31,'Business Baseline'!$B$14:$D$23,3,FALSE)</f>
        <v>2.8500000000000001E-2</v>
      </c>
      <c r="D31" s="55">
        <f>VLOOKUP($B31,'Business Baseline'!$B$14:$C$23,2,FALSE)</f>
        <v>17</v>
      </c>
      <c r="E31" s="47">
        <f t="shared" si="1"/>
        <v>125569.69422462001</v>
      </c>
      <c r="F31" s="47">
        <f t="shared" si="2"/>
        <v>18835.454133693001</v>
      </c>
      <c r="G31" s="28" t="e">
        <f>SUMIF('Business Baseline'!$K:$K,$B31,'Business Baseline'!#REF!)</f>
        <v>#REF!</v>
      </c>
      <c r="H31" s="28" t="e">
        <f>SUMIF('Business Baseline'!$K:$K,$B31,'Business Baseline'!#REF!)</f>
        <v>#REF!</v>
      </c>
      <c r="I31" s="59" t="e">
        <f t="shared" si="3"/>
        <v>#REF!</v>
      </c>
      <c r="J31" s="28"/>
      <c r="K31" s="46">
        <f>VLOOKUP($B31,'Business Baseline'!$B$14:$D$23,3,FALSE)</f>
        <v>2.8500000000000001E-2</v>
      </c>
      <c r="L31" s="55">
        <f>VLOOKUP($B31,'Business Baseline'!$B$14:$C$23,2,FALSE)</f>
        <v>17</v>
      </c>
      <c r="M31" s="55"/>
      <c r="N31" s="47">
        <f t="shared" si="4"/>
        <v>125569.69422462001</v>
      </c>
      <c r="O31" s="47">
        <f t="shared" si="5"/>
        <v>18835.454133693001</v>
      </c>
      <c r="P31" s="1" t="e">
        <f>SUMIF('Business Baseline'!$K:$K,$B31,'Business Baseline'!#REF!)</f>
        <v>#REF!</v>
      </c>
      <c r="Q31" s="1" t="e">
        <f>SUMIF('Business Baseline'!$K:$K,$B31,'Business Baseline'!#REF!)</f>
        <v>#REF!</v>
      </c>
      <c r="R31" s="59" t="e">
        <f t="shared" si="6"/>
        <v>#REF!</v>
      </c>
      <c r="S31" s="46">
        <f>VLOOKUP($B31,'Business Baseline'!$B$14:$D$23,3,FALSE)</f>
        <v>2.8500000000000001E-2</v>
      </c>
      <c r="T31" s="55">
        <f>VLOOKUP($B31,'Business Baseline'!$B$14:$C$23,2,FALSE)</f>
        <v>17</v>
      </c>
      <c r="U31" s="55"/>
      <c r="V31" s="47">
        <f t="shared" si="7"/>
        <v>125569.69422462001</v>
      </c>
      <c r="W31" s="47">
        <f t="shared" si="8"/>
        <v>18835.454133693001</v>
      </c>
      <c r="X31" s="1" t="e">
        <f>SUMIF('Business Baseline'!$K:$K,$B31,'Business Baseline'!#REF!)</f>
        <v>#REF!</v>
      </c>
      <c r="Y31" s="1" t="e">
        <f>SUMIF('Business Baseline'!$K:$K,$B31,'Business Baseline'!#REF!)</f>
        <v>#REF!</v>
      </c>
      <c r="Z31" s="59" t="e">
        <f t="shared" si="9"/>
        <v>#REF!</v>
      </c>
    </row>
    <row r="32" spans="2:26" x14ac:dyDescent="0.35">
      <c r="B32" t="s">
        <v>5</v>
      </c>
      <c r="C32" s="46">
        <f>VLOOKUP($B32,'Business Baseline'!$B$14:$D$23,3,FALSE)</f>
        <v>1.1900000000000001E-2</v>
      </c>
      <c r="D32" s="55">
        <f>VLOOKUP($B32,'Business Baseline'!$B$14:$C$23,2,FALSE)</f>
        <v>19</v>
      </c>
      <c r="E32" s="47">
        <f t="shared" si="1"/>
        <v>52430.854781508002</v>
      </c>
      <c r="F32" s="47">
        <f t="shared" si="2"/>
        <v>7864.6282172262008</v>
      </c>
      <c r="G32" s="28" t="e">
        <f>SUMIF('Business Baseline'!$K:$K,$B32,'Business Baseline'!#REF!)</f>
        <v>#REF!</v>
      </c>
      <c r="H32" s="28" t="e">
        <f>SUMIF('Business Baseline'!$K:$K,$B32,'Business Baseline'!#REF!)</f>
        <v>#REF!</v>
      </c>
      <c r="I32" s="59" t="e">
        <f t="shared" si="3"/>
        <v>#REF!</v>
      </c>
      <c r="J32" s="28"/>
      <c r="K32" s="46">
        <f>VLOOKUP($B32,'Business Baseline'!$B$14:$D$23,3,FALSE)</f>
        <v>1.1900000000000001E-2</v>
      </c>
      <c r="L32" s="55">
        <f>VLOOKUP($B32,'Business Baseline'!$B$14:$C$23,2,FALSE)</f>
        <v>19</v>
      </c>
      <c r="M32" s="55"/>
      <c r="N32" s="47">
        <f t="shared" si="4"/>
        <v>52430.854781508002</v>
      </c>
      <c r="O32" s="47">
        <f t="shared" si="5"/>
        <v>7864.6282172262008</v>
      </c>
      <c r="P32" s="1" t="e">
        <f>SUMIF('Business Baseline'!$K:$K,$B32,'Business Baseline'!#REF!)</f>
        <v>#REF!</v>
      </c>
      <c r="Q32" s="1" t="e">
        <f>SUMIF('Business Baseline'!$K:$K,$B32,'Business Baseline'!#REF!)</f>
        <v>#REF!</v>
      </c>
      <c r="R32" s="59" t="e">
        <f t="shared" si="6"/>
        <v>#REF!</v>
      </c>
      <c r="S32" s="46">
        <f>VLOOKUP($B32,'Business Baseline'!$B$14:$D$23,3,FALSE)</f>
        <v>1.1900000000000001E-2</v>
      </c>
      <c r="T32" s="55">
        <f>VLOOKUP($B32,'Business Baseline'!$B$14:$C$23,2,FALSE)</f>
        <v>19</v>
      </c>
      <c r="U32" s="55"/>
      <c r="V32" s="47">
        <f t="shared" si="7"/>
        <v>52430.854781508002</v>
      </c>
      <c r="W32" s="47">
        <f t="shared" si="8"/>
        <v>7864.6282172262008</v>
      </c>
      <c r="X32" s="1" t="e">
        <f>SUMIF('Business Baseline'!$K:$K,$B32,'Business Baseline'!#REF!)</f>
        <v>#REF!</v>
      </c>
      <c r="Y32" s="1" t="e">
        <f>SUMIF('Business Baseline'!$K:$K,$B32,'Business Baseline'!#REF!)</f>
        <v>#REF!</v>
      </c>
      <c r="Z32" s="59" t="e">
        <f t="shared" si="9"/>
        <v>#REF!</v>
      </c>
    </row>
    <row r="33" spans="2:31" x14ac:dyDescent="0.35">
      <c r="B33" t="s">
        <v>7</v>
      </c>
      <c r="C33" s="46">
        <f>VLOOKUP($B33,'Business Baseline'!$B$14:$D$23,3,FALSE)</f>
        <v>3.0000000000000001E-3</v>
      </c>
      <c r="D33" s="55">
        <f>VLOOKUP($B33,'Business Baseline'!$B$14:$C$23,2,FALSE)</f>
        <v>20</v>
      </c>
      <c r="E33" s="47">
        <f t="shared" si="1"/>
        <v>13217.86254996</v>
      </c>
      <c r="F33" s="47">
        <f t="shared" si="2"/>
        <v>1982.6793824940003</v>
      </c>
      <c r="G33" s="28" t="e">
        <f>SUMIF('Business Baseline'!$K:$K,$B33,'Business Baseline'!#REF!)</f>
        <v>#REF!</v>
      </c>
      <c r="H33" s="28" t="e">
        <f>SUMIF('Business Baseline'!$K:$K,$B33,'Business Baseline'!#REF!)</f>
        <v>#REF!</v>
      </c>
      <c r="I33" s="59" t="e">
        <f t="shared" si="3"/>
        <v>#REF!</v>
      </c>
      <c r="J33" s="28"/>
      <c r="K33" s="46">
        <f>VLOOKUP($B33,'Business Baseline'!$B$14:$D$23,3,FALSE)</f>
        <v>3.0000000000000001E-3</v>
      </c>
      <c r="L33" s="55">
        <f>VLOOKUP($B33,'Business Baseline'!$B$14:$C$23,2,FALSE)</f>
        <v>20</v>
      </c>
      <c r="M33" s="55"/>
      <c r="N33" s="47">
        <f t="shared" si="4"/>
        <v>13217.86254996</v>
      </c>
      <c r="O33" s="47">
        <f t="shared" si="5"/>
        <v>1982.6793824940003</v>
      </c>
      <c r="P33" s="1" t="e">
        <f>SUMIF('Business Baseline'!$K:$K,$B33,'Business Baseline'!#REF!)</f>
        <v>#REF!</v>
      </c>
      <c r="Q33" s="1" t="e">
        <f>SUMIF('Business Baseline'!$K:$K,$B33,'Business Baseline'!#REF!)</f>
        <v>#REF!</v>
      </c>
      <c r="R33" s="59" t="e">
        <f t="shared" si="6"/>
        <v>#REF!</v>
      </c>
      <c r="S33" s="46">
        <f>VLOOKUP($B33,'Business Baseline'!$B$14:$D$23,3,FALSE)</f>
        <v>3.0000000000000001E-3</v>
      </c>
      <c r="T33" s="55">
        <f>VLOOKUP($B33,'Business Baseline'!$B$14:$C$23,2,FALSE)</f>
        <v>20</v>
      </c>
      <c r="U33" s="55"/>
      <c r="V33" s="47">
        <f t="shared" si="7"/>
        <v>13217.86254996</v>
      </c>
      <c r="W33" s="47">
        <f t="shared" si="8"/>
        <v>1982.6793824940003</v>
      </c>
      <c r="X33" s="1" t="e">
        <f>SUMIF('Business Baseline'!$K:$K,$B33,'Business Baseline'!#REF!)</f>
        <v>#REF!</v>
      </c>
      <c r="Y33" s="1" t="e">
        <f>SUMIF('Business Baseline'!$K:$K,$B33,'Business Baseline'!#REF!)</f>
        <v>#REF!</v>
      </c>
      <c r="Z33" s="59" t="e">
        <f t="shared" si="9"/>
        <v>#REF!</v>
      </c>
    </row>
    <row r="34" spans="2:31" x14ac:dyDescent="0.35">
      <c r="B34" t="s">
        <v>9</v>
      </c>
      <c r="C34" s="46">
        <f>VLOOKUP($B34,'Business Baseline'!$B$14:$D$23,3,FALSE)</f>
        <v>1.2999999999999999E-3</v>
      </c>
      <c r="D34" s="55">
        <f>VLOOKUP($B34,'Business Baseline'!$B$14:$C$23,2,FALSE)</f>
        <v>22</v>
      </c>
      <c r="E34" s="54">
        <f t="shared" si="1"/>
        <v>5727.7404383159992</v>
      </c>
      <c r="F34" s="54">
        <f t="shared" si="2"/>
        <v>859.16106574740002</v>
      </c>
      <c r="G34" s="42" t="e">
        <f>SUMIF('Business Baseline'!$K:$K,$B34,'Business Baseline'!#REF!)</f>
        <v>#REF!</v>
      </c>
      <c r="H34" s="42" t="e">
        <f>SUMIF('Business Baseline'!$K:$K,$B34,'Business Baseline'!#REF!)</f>
        <v>#REF!</v>
      </c>
      <c r="I34" s="60" t="e">
        <f t="shared" si="3"/>
        <v>#REF!</v>
      </c>
      <c r="J34" s="28"/>
      <c r="K34" s="77">
        <f>VLOOKUP($B34,'Business Baseline'!$B$14:$D$23,3,FALSE)</f>
        <v>1.2999999999999999E-3</v>
      </c>
      <c r="L34" s="76">
        <f>VLOOKUP($B34,'Business Baseline'!$B$14:$C$23,2,FALSE)</f>
        <v>22</v>
      </c>
      <c r="M34" s="76"/>
      <c r="N34" s="54">
        <f t="shared" si="4"/>
        <v>5727.7404383159992</v>
      </c>
      <c r="O34" s="54">
        <f t="shared" si="5"/>
        <v>859.16106574740002</v>
      </c>
      <c r="P34" s="85" t="e">
        <f>SUMIF('Business Baseline'!$K:$K,$B34,'Business Baseline'!#REF!)</f>
        <v>#REF!</v>
      </c>
      <c r="Q34" s="85" t="e">
        <f>SUMIF('Business Baseline'!$K:$K,$B34,'Business Baseline'!#REF!)</f>
        <v>#REF!</v>
      </c>
      <c r="R34" s="60" t="e">
        <f t="shared" si="6"/>
        <v>#REF!</v>
      </c>
      <c r="S34" s="78">
        <f>VLOOKUP($B34,'Business Baseline'!$B$14:$D$23,3,FALSE)</f>
        <v>1.2999999999999999E-3</v>
      </c>
      <c r="T34" s="76">
        <f>VLOOKUP($B34,'Business Baseline'!$B$14:$C$23,2,FALSE)</f>
        <v>22</v>
      </c>
      <c r="U34" s="76"/>
      <c r="V34" s="54">
        <f t="shared" si="7"/>
        <v>5727.7404383159992</v>
      </c>
      <c r="W34" s="54">
        <f t="shared" si="8"/>
        <v>859.16106574740002</v>
      </c>
      <c r="X34" s="85" t="e">
        <f>SUMIF('Business Baseline'!$K:$K,$B34,'Business Baseline'!#REF!)</f>
        <v>#REF!</v>
      </c>
      <c r="Y34" s="85" t="e">
        <f>SUMIF('Business Baseline'!$K:$K,$B34,'Business Baseline'!#REF!)</f>
        <v>#REF!</v>
      </c>
      <c r="Z34" s="60" t="e">
        <f t="shared" si="9"/>
        <v>#REF!</v>
      </c>
    </row>
    <row r="35" spans="2:31" s="5" customFormat="1" x14ac:dyDescent="0.35">
      <c r="B35" s="5" t="s">
        <v>13</v>
      </c>
      <c r="E35" s="29">
        <f>SUM(E25:E34)</f>
        <v>4405954.1833200008</v>
      </c>
      <c r="F35" s="29">
        <f>SUM(F25:F34)</f>
        <v>660893.12749800005</v>
      </c>
      <c r="G35" s="29" t="e">
        <f>SUM(G25:G34)</f>
        <v>#REF!</v>
      </c>
      <c r="H35" s="29" t="e">
        <f>SUM(H25:H34)</f>
        <v>#REF!</v>
      </c>
      <c r="I35" s="59" t="e">
        <f>SUM(I25:I34)</f>
        <v>#REF!</v>
      </c>
      <c r="J35" s="29"/>
      <c r="N35" s="29">
        <f>SUM(N25:N34)</f>
        <v>4405954.1833200008</v>
      </c>
      <c r="O35" s="29">
        <f>SUM(O25:O34)</f>
        <v>660893.12749800005</v>
      </c>
      <c r="P35" s="84" t="e">
        <f>SUM(P25:P34)</f>
        <v>#REF!</v>
      </c>
      <c r="Q35" s="84" t="e">
        <f>SUM(Q25:Q34)</f>
        <v>#REF!</v>
      </c>
      <c r="R35" s="59" t="e">
        <f>SUM(R25:R34)</f>
        <v>#REF!</v>
      </c>
      <c r="V35" s="29">
        <f>SUM(V25:V34)</f>
        <v>4405954.1833200008</v>
      </c>
      <c r="W35" s="29">
        <f>SUM(W25:W34)</f>
        <v>660893.12749800005</v>
      </c>
      <c r="X35" s="84" t="e">
        <f>SUM(X25:X34)</f>
        <v>#REF!</v>
      </c>
      <c r="Y35" s="84" t="e">
        <f>SUM(Y25:Y34)</f>
        <v>#REF!</v>
      </c>
      <c r="Z35" s="59" t="e">
        <f>SUM(Z25:Z34)</f>
        <v>#REF!</v>
      </c>
      <c r="AA35"/>
      <c r="AB35"/>
      <c r="AC35"/>
      <c r="AD35"/>
      <c r="AE35"/>
    </row>
    <row r="36" spans="2:31" s="5" customFormat="1" x14ac:dyDescent="0.35">
      <c r="E36" s="29"/>
      <c r="F36" s="29"/>
      <c r="G36" s="29"/>
      <c r="H36" s="29"/>
      <c r="I36" s="59"/>
      <c r="J36" s="29"/>
      <c r="L36" s="29"/>
      <c r="N36" s="29"/>
      <c r="O36" s="29"/>
      <c r="P36" s="29"/>
      <c r="Q36" s="29"/>
      <c r="R36" s="59"/>
      <c r="T36" s="29"/>
      <c r="V36" s="29"/>
      <c r="X36" s="29"/>
      <c r="Y36" s="29"/>
      <c r="Z36" s="59"/>
      <c r="AA36"/>
      <c r="AB36"/>
      <c r="AC36"/>
      <c r="AD36"/>
      <c r="AE36"/>
    </row>
    <row r="37" spans="2:31" s="5" customFormat="1" x14ac:dyDescent="0.35">
      <c r="B37" s="41" t="s">
        <v>145</v>
      </c>
      <c r="C37" s="41"/>
      <c r="D37" s="41"/>
      <c r="E37" s="40"/>
      <c r="F37" s="40"/>
      <c r="G37" s="40"/>
      <c r="H37" s="40"/>
      <c r="I37" s="61"/>
      <c r="J37" s="29"/>
      <c r="K37" s="36"/>
      <c r="L37" s="41"/>
      <c r="M37" s="40"/>
      <c r="N37" s="86"/>
      <c r="O37" s="40"/>
      <c r="P37" s="40"/>
      <c r="Q37" s="40"/>
      <c r="R37" s="61"/>
      <c r="S37" s="36"/>
      <c r="T37" s="41"/>
      <c r="U37" s="40"/>
      <c r="V37" s="86"/>
      <c r="W37" s="40"/>
      <c r="X37" s="40"/>
      <c r="Y37" s="40"/>
      <c r="Z37" s="61"/>
      <c r="AA37"/>
      <c r="AB37"/>
      <c r="AC37"/>
      <c r="AD37"/>
      <c r="AE37"/>
    </row>
    <row r="38" spans="2:31" s="5" customFormat="1" x14ac:dyDescent="0.35">
      <c r="C38" s="6" t="s">
        <v>33</v>
      </c>
      <c r="D38" s="6" t="s">
        <v>1</v>
      </c>
      <c r="E38" s="6" t="s">
        <v>55</v>
      </c>
      <c r="G38" s="6" t="s">
        <v>49</v>
      </c>
      <c r="H38" s="6" t="s">
        <v>50</v>
      </c>
      <c r="I38" s="58" t="s">
        <v>67</v>
      </c>
      <c r="J38" s="29"/>
      <c r="K38" s="6" t="s">
        <v>53</v>
      </c>
      <c r="L38" s="6" t="s">
        <v>33</v>
      </c>
      <c r="M38" s="6" t="s">
        <v>78</v>
      </c>
      <c r="N38" s="5" t="s">
        <v>51</v>
      </c>
      <c r="O38" s="6" t="s">
        <v>52</v>
      </c>
      <c r="P38" s="6" t="s">
        <v>49</v>
      </c>
      <c r="Q38" s="6" t="s">
        <v>50</v>
      </c>
      <c r="R38" s="58" t="s">
        <v>76</v>
      </c>
      <c r="S38" s="6" t="s">
        <v>53</v>
      </c>
      <c r="T38" s="6" t="s">
        <v>33</v>
      </c>
      <c r="U38" s="6" t="s">
        <v>78</v>
      </c>
      <c r="V38" s="5" t="s">
        <v>51</v>
      </c>
      <c r="W38" s="6" t="s">
        <v>52</v>
      </c>
      <c r="X38" s="6" t="s">
        <v>49</v>
      </c>
      <c r="Y38" s="6" t="s">
        <v>50</v>
      </c>
      <c r="Z38" s="58" t="s">
        <v>76</v>
      </c>
      <c r="AA38"/>
      <c r="AB38"/>
      <c r="AC38"/>
      <c r="AD38"/>
      <c r="AE38"/>
    </row>
    <row r="39" spans="2:31" s="5" customFormat="1" x14ac:dyDescent="0.35">
      <c r="B39" t="s">
        <v>10</v>
      </c>
      <c r="C39" s="44">
        <v>15</v>
      </c>
      <c r="D39" s="45">
        <v>0.36</v>
      </c>
      <c r="E39" s="44">
        <f t="shared" ref="E39:E48" si="10">C39*(1+D39)</f>
        <v>20.399999999999999</v>
      </c>
      <c r="G39" s="28">
        <f t="shared" ref="G39:G48" si="11">E25*E39</f>
        <v>35503178.809192561</v>
      </c>
      <c r="H39" s="28">
        <f t="shared" ref="H39:H48" si="12">F25*1.5*E39</f>
        <v>7988215.2320683263</v>
      </c>
      <c r="I39" s="59">
        <f t="shared" ref="I39:I48" si="13">SUM(G39:H39)</f>
        <v>43491394.041260883</v>
      </c>
      <c r="J39" s="29"/>
      <c r="K39" s="45">
        <f>VLOOKUP($B39,'Business Baseline'!$B$14:$D$23,3,FALSE)</f>
        <v>0.39500000000000002</v>
      </c>
      <c r="L39" s="89">
        <f t="shared" ref="L39:L48" si="14">C39</f>
        <v>15</v>
      </c>
      <c r="M39" s="44">
        <f t="shared" ref="M39:M48" si="15">L39*(1+$M$13)</f>
        <v>14.7</v>
      </c>
      <c r="N39" s="87">
        <f t="shared" ref="N39:N48" si="16">K39*$M$15</f>
        <v>1823225.5761904758</v>
      </c>
      <c r="O39" s="87">
        <f t="shared" ref="O39:O48" si="17">K39*$M$16</f>
        <v>91161.278809523792</v>
      </c>
      <c r="P39" s="1">
        <f t="shared" ref="P39:P48" si="18">(N39*M39*(1-$M$18))+(L39*N39*$M$18)</f>
        <v>26938157.888214279</v>
      </c>
      <c r="Q39" s="1">
        <f t="shared" ref="Q39:Q48" si="19">(O39*M39*1.5*(1-$M$18))+(L39*O39*1.5*$M$18)</f>
        <v>2020361.8416160708</v>
      </c>
      <c r="R39" s="59">
        <f t="shared" ref="R39:R48" si="20">SUM(P39:Q39)</f>
        <v>28958519.729830351</v>
      </c>
      <c r="S39" s="45">
        <f>VLOOKUP($B39,'Business Baseline'!$B$14:$D$23,3,FALSE)</f>
        <v>0.39500000000000002</v>
      </c>
      <c r="T39" s="89">
        <f t="shared" ref="T39:T48" si="21">M39</f>
        <v>14.7</v>
      </c>
      <c r="U39" s="44">
        <f t="shared" ref="U39:U48" si="22">T39*(1+$M$13)</f>
        <v>14.405999999999999</v>
      </c>
      <c r="V39" s="87">
        <f t="shared" ref="V39:V48" si="23">S39*$M$15</f>
        <v>1823225.5761904758</v>
      </c>
      <c r="W39" s="87">
        <f t="shared" ref="W39:W48" si="24">S39*$M$16</f>
        <v>91161.278809523792</v>
      </c>
      <c r="X39" s="1">
        <f t="shared" ref="X39:X48" si="25">(V39*U39*(1-$M$18))+(T39*V39*$M$18)</f>
        <v>26399394.730449997</v>
      </c>
      <c r="Y39" s="1">
        <f t="shared" ref="Y39:Y48" si="26">(W39*U39*1.5*(1-$M$18))+(T39*W39*1.5*$M$18)</f>
        <v>1979954.6047837494</v>
      </c>
      <c r="Z39" s="59">
        <f t="shared" ref="Z39:Z48" si="27">SUM(X39:Y39)</f>
        <v>28379349.335233748</v>
      </c>
      <c r="AA39"/>
      <c r="AB39"/>
      <c r="AC39"/>
      <c r="AD39"/>
      <c r="AE39"/>
    </row>
    <row r="40" spans="2:31" s="5" customFormat="1" x14ac:dyDescent="0.35">
      <c r="B40" t="s">
        <v>4</v>
      </c>
      <c r="C40" s="44">
        <v>14.5</v>
      </c>
      <c r="D40" s="45">
        <v>0.36</v>
      </c>
      <c r="E40" s="44">
        <f t="shared" si="10"/>
        <v>19.72</v>
      </c>
      <c r="G40" s="28">
        <f t="shared" si="11"/>
        <v>29766943.691211116</v>
      </c>
      <c r="H40" s="28">
        <f t="shared" si="12"/>
        <v>6697562.3305225018</v>
      </c>
      <c r="I40" s="59">
        <f t="shared" si="13"/>
        <v>36464506.021733619</v>
      </c>
      <c r="J40" s="29"/>
      <c r="K40" s="45">
        <f>VLOOKUP($B40,'Business Baseline'!$B$14:$D$23,3,FALSE)</f>
        <v>0.34260000000000002</v>
      </c>
      <c r="L40" s="89">
        <f t="shared" si="14"/>
        <v>14.5</v>
      </c>
      <c r="M40" s="44">
        <f t="shared" si="15"/>
        <v>14.209999999999999</v>
      </c>
      <c r="N40" s="87">
        <f t="shared" si="16"/>
        <v>1581359.702285714</v>
      </c>
      <c r="O40" s="87">
        <f t="shared" si="17"/>
        <v>79067.985114285708</v>
      </c>
      <c r="P40" s="1">
        <f t="shared" si="18"/>
        <v>22585769.947895709</v>
      </c>
      <c r="Q40" s="1">
        <f t="shared" si="19"/>
        <v>1693932.7460921784</v>
      </c>
      <c r="R40" s="59">
        <f t="shared" si="20"/>
        <v>24279702.693987887</v>
      </c>
      <c r="S40" s="45">
        <f>VLOOKUP($B40,'Business Baseline'!$B$14:$D$23,3,FALSE)</f>
        <v>0.34260000000000002</v>
      </c>
      <c r="T40" s="89">
        <f t="shared" si="21"/>
        <v>14.209999999999999</v>
      </c>
      <c r="U40" s="44">
        <f t="shared" si="22"/>
        <v>13.925799999999999</v>
      </c>
      <c r="V40" s="87">
        <f t="shared" si="23"/>
        <v>1581359.702285714</v>
      </c>
      <c r="W40" s="87">
        <f t="shared" si="24"/>
        <v>79067.985114285708</v>
      </c>
      <c r="X40" s="1">
        <f t="shared" si="25"/>
        <v>22134054.548937794</v>
      </c>
      <c r="Y40" s="1">
        <f t="shared" si="26"/>
        <v>1660054.0911703347</v>
      </c>
      <c r="Z40" s="59">
        <f t="shared" si="27"/>
        <v>23794108.640108127</v>
      </c>
      <c r="AA40"/>
      <c r="AB40"/>
      <c r="AC40"/>
      <c r="AD40"/>
      <c r="AE40"/>
    </row>
    <row r="41" spans="2:31" s="5" customFormat="1" x14ac:dyDescent="0.35">
      <c r="B41" t="s">
        <v>3</v>
      </c>
      <c r="C41" s="44">
        <v>16</v>
      </c>
      <c r="D41" s="45">
        <v>0.36</v>
      </c>
      <c r="E41" s="44">
        <f t="shared" si="10"/>
        <v>21.759999999999998</v>
      </c>
      <c r="G41" s="28">
        <f t="shared" si="11"/>
        <v>8149252.8574686712</v>
      </c>
      <c r="H41" s="28">
        <f t="shared" si="12"/>
        <v>1833581.8929304513</v>
      </c>
      <c r="I41" s="59">
        <f t="shared" si="13"/>
        <v>9982834.750399122</v>
      </c>
      <c r="J41" s="29"/>
      <c r="K41" s="45">
        <f>VLOOKUP($B41,'Business Baseline'!$B$14:$D$23,3,FALSE)</f>
        <v>8.5000000000000006E-2</v>
      </c>
      <c r="L41" s="89">
        <f t="shared" si="14"/>
        <v>16</v>
      </c>
      <c r="M41" s="44">
        <f t="shared" si="15"/>
        <v>15.68</v>
      </c>
      <c r="N41" s="87">
        <f t="shared" si="16"/>
        <v>392339.68095238088</v>
      </c>
      <c r="O41" s="87">
        <f t="shared" si="17"/>
        <v>19616.984047619044</v>
      </c>
      <c r="P41" s="1">
        <f t="shared" si="18"/>
        <v>6183273.3718095226</v>
      </c>
      <c r="Q41" s="1">
        <f t="shared" si="19"/>
        <v>463745.50288571423</v>
      </c>
      <c r="R41" s="59">
        <f t="shared" si="20"/>
        <v>6647018.8746952368</v>
      </c>
      <c r="S41" s="45">
        <f>VLOOKUP($B41,'Business Baseline'!$B$14:$D$23,3,FALSE)</f>
        <v>8.5000000000000006E-2</v>
      </c>
      <c r="T41" s="89">
        <f t="shared" si="21"/>
        <v>15.68</v>
      </c>
      <c r="U41" s="44">
        <f t="shared" si="22"/>
        <v>15.366399999999999</v>
      </c>
      <c r="V41" s="87">
        <f t="shared" si="23"/>
        <v>392339.68095238088</v>
      </c>
      <c r="W41" s="87">
        <f t="shared" si="24"/>
        <v>19616.984047619044</v>
      </c>
      <c r="X41" s="1">
        <f t="shared" si="25"/>
        <v>6059607.9043733319</v>
      </c>
      <c r="Y41" s="1">
        <f t="shared" si="26"/>
        <v>454470.59282799991</v>
      </c>
      <c r="Z41" s="59">
        <f t="shared" si="27"/>
        <v>6514078.4972013319</v>
      </c>
      <c r="AA41"/>
      <c r="AB41"/>
      <c r="AC41"/>
      <c r="AD41"/>
      <c r="AE41"/>
    </row>
    <row r="42" spans="2:31" s="5" customFormat="1" x14ac:dyDescent="0.35">
      <c r="B42" t="s">
        <v>29</v>
      </c>
      <c r="C42" s="44">
        <v>17</v>
      </c>
      <c r="D42" s="45">
        <v>0.36</v>
      </c>
      <c r="E42" s="44">
        <f t="shared" si="10"/>
        <v>23.119999999999997</v>
      </c>
      <c r="G42" s="28">
        <f t="shared" si="11"/>
        <v>4940484.5448403815</v>
      </c>
      <c r="H42" s="28">
        <f t="shared" si="12"/>
        <v>1111609.0225890861</v>
      </c>
      <c r="I42" s="59">
        <f t="shared" si="13"/>
        <v>6052093.567429468</v>
      </c>
      <c r="J42" s="29"/>
      <c r="K42" s="45">
        <f>VLOOKUP($B42,'Business Baseline'!$B$14:$D$23,3,FALSE)</f>
        <v>4.8500000000000001E-2</v>
      </c>
      <c r="L42" s="89">
        <f t="shared" si="14"/>
        <v>17</v>
      </c>
      <c r="M42" s="44">
        <f t="shared" si="15"/>
        <v>16.66</v>
      </c>
      <c r="N42" s="87">
        <f t="shared" si="16"/>
        <v>223864.40619047615</v>
      </c>
      <c r="O42" s="87">
        <f t="shared" si="17"/>
        <v>11193.220309523807</v>
      </c>
      <c r="P42" s="1">
        <f t="shared" si="18"/>
        <v>3748609.4816595232</v>
      </c>
      <c r="Q42" s="1">
        <f t="shared" si="19"/>
        <v>281145.71112446423</v>
      </c>
      <c r="R42" s="59">
        <f t="shared" si="20"/>
        <v>4029755.1927839876</v>
      </c>
      <c r="S42" s="45">
        <f>VLOOKUP($B42,'Business Baseline'!$B$14:$D$23,3,FALSE)</f>
        <v>4.8500000000000001E-2</v>
      </c>
      <c r="T42" s="89">
        <f t="shared" si="21"/>
        <v>16.66</v>
      </c>
      <c r="U42" s="44">
        <f t="shared" si="22"/>
        <v>16.326799999999999</v>
      </c>
      <c r="V42" s="87">
        <f t="shared" si="23"/>
        <v>223864.40619047615</v>
      </c>
      <c r="W42" s="87">
        <f t="shared" si="24"/>
        <v>11193.220309523807</v>
      </c>
      <c r="X42" s="1">
        <f t="shared" si="25"/>
        <v>3673637.2920263321</v>
      </c>
      <c r="Y42" s="1">
        <f t="shared" si="26"/>
        <v>275522.79690197494</v>
      </c>
      <c r="Z42" s="59">
        <f t="shared" si="27"/>
        <v>3949160.0889283069</v>
      </c>
      <c r="AA42"/>
      <c r="AB42"/>
      <c r="AC42"/>
      <c r="AD42"/>
      <c r="AE42"/>
    </row>
    <row r="43" spans="2:31" s="5" customFormat="1" x14ac:dyDescent="0.35">
      <c r="B43" t="s">
        <v>6</v>
      </c>
      <c r="C43" s="44">
        <v>18</v>
      </c>
      <c r="D43" s="45">
        <v>0.36</v>
      </c>
      <c r="E43" s="44">
        <f t="shared" si="10"/>
        <v>24.479999999999997</v>
      </c>
      <c r="G43" s="28">
        <f t="shared" si="11"/>
        <v>5090886.1968421927</v>
      </c>
      <c r="H43" s="28">
        <f t="shared" si="12"/>
        <v>1145449.3942894936</v>
      </c>
      <c r="I43" s="59">
        <f t="shared" si="13"/>
        <v>6236335.5911316862</v>
      </c>
      <c r="J43" s="29"/>
      <c r="K43" s="45">
        <f>VLOOKUP($B43,'Business Baseline'!$B$14:$D$23,3,FALSE)</f>
        <v>4.7199999999999999E-2</v>
      </c>
      <c r="L43" s="89">
        <f t="shared" si="14"/>
        <v>18</v>
      </c>
      <c r="M43" s="44">
        <f t="shared" si="15"/>
        <v>17.64</v>
      </c>
      <c r="N43" s="87">
        <f t="shared" si="16"/>
        <v>217863.91695238091</v>
      </c>
      <c r="O43" s="87">
        <f t="shared" si="17"/>
        <v>10893.195847619045</v>
      </c>
      <c r="P43" s="1">
        <f t="shared" si="18"/>
        <v>3862727.2475657137</v>
      </c>
      <c r="Q43" s="1">
        <f t="shared" si="19"/>
        <v>289704.54356742848</v>
      </c>
      <c r="R43" s="59">
        <f t="shared" si="20"/>
        <v>4152431.7911331421</v>
      </c>
      <c r="S43" s="45">
        <f>VLOOKUP($B43,'Business Baseline'!$B$14:$D$23,3,FALSE)</f>
        <v>4.7199999999999999E-2</v>
      </c>
      <c r="T43" s="89">
        <f t="shared" si="21"/>
        <v>17.64</v>
      </c>
      <c r="U43" s="44">
        <f t="shared" si="22"/>
        <v>17.287199999999999</v>
      </c>
      <c r="V43" s="87">
        <f t="shared" si="23"/>
        <v>217863.91695238091</v>
      </c>
      <c r="W43" s="87">
        <f t="shared" si="24"/>
        <v>10893.195847619045</v>
      </c>
      <c r="X43" s="1">
        <f t="shared" si="25"/>
        <v>3785472.7026143991</v>
      </c>
      <c r="Y43" s="1">
        <f t="shared" si="26"/>
        <v>283910.45269607991</v>
      </c>
      <c r="Z43" s="59">
        <f t="shared" si="27"/>
        <v>4069383.155310479</v>
      </c>
      <c r="AA43"/>
      <c r="AB43"/>
      <c r="AC43"/>
      <c r="AD43"/>
      <c r="AE43"/>
    </row>
    <row r="44" spans="2:31" s="5" customFormat="1" x14ac:dyDescent="0.35">
      <c r="B44" t="s">
        <v>30</v>
      </c>
      <c r="C44" s="44">
        <v>18</v>
      </c>
      <c r="D44" s="45">
        <v>0.36</v>
      </c>
      <c r="E44" s="44">
        <f t="shared" si="10"/>
        <v>24.479999999999997</v>
      </c>
      <c r="G44" s="28">
        <f t="shared" si="11"/>
        <v>3990737.0610839222</v>
      </c>
      <c r="H44" s="28">
        <f t="shared" si="12"/>
        <v>897915.83874388272</v>
      </c>
      <c r="I44" s="59">
        <f t="shared" si="13"/>
        <v>4888652.8998278044</v>
      </c>
      <c r="J44" s="29"/>
      <c r="K44" s="45">
        <f>VLOOKUP($B44,'Business Baseline'!$B$14:$D$23,3,FALSE)</f>
        <v>3.6999999999999998E-2</v>
      </c>
      <c r="L44" s="89">
        <f t="shared" si="14"/>
        <v>18</v>
      </c>
      <c r="M44" s="44">
        <f t="shared" si="15"/>
        <v>17.64</v>
      </c>
      <c r="N44" s="87">
        <f t="shared" si="16"/>
        <v>170783.15523809521</v>
      </c>
      <c r="O44" s="87">
        <f t="shared" si="17"/>
        <v>8539.1577619047603</v>
      </c>
      <c r="P44" s="1">
        <f t="shared" si="18"/>
        <v>3027985.3423714284</v>
      </c>
      <c r="Q44" s="1">
        <f t="shared" si="19"/>
        <v>227098.90067785713</v>
      </c>
      <c r="R44" s="59">
        <f t="shared" si="20"/>
        <v>3255084.2430492854</v>
      </c>
      <c r="S44" s="45">
        <f>VLOOKUP($B44,'Business Baseline'!$B$14:$D$23,3,FALSE)</f>
        <v>3.6999999999999998E-2</v>
      </c>
      <c r="T44" s="89">
        <f t="shared" si="21"/>
        <v>17.64</v>
      </c>
      <c r="U44" s="44">
        <f t="shared" si="22"/>
        <v>17.287199999999999</v>
      </c>
      <c r="V44" s="87">
        <f t="shared" si="23"/>
        <v>170783.15523809521</v>
      </c>
      <c r="W44" s="87">
        <f t="shared" si="24"/>
        <v>8539.1577619047603</v>
      </c>
      <c r="X44" s="1">
        <f t="shared" si="25"/>
        <v>2967425.6355239991</v>
      </c>
      <c r="Y44" s="1">
        <f t="shared" si="26"/>
        <v>222556.92266429996</v>
      </c>
      <c r="Z44" s="59">
        <f t="shared" si="27"/>
        <v>3189982.5581882992</v>
      </c>
      <c r="AA44"/>
      <c r="AB44"/>
      <c r="AC44"/>
      <c r="AD44"/>
      <c r="AE44"/>
    </row>
    <row r="45" spans="2:31" s="5" customFormat="1" x14ac:dyDescent="0.35">
      <c r="B45" t="s">
        <v>11</v>
      </c>
      <c r="C45" s="44">
        <v>17</v>
      </c>
      <c r="D45" s="45">
        <v>0.36</v>
      </c>
      <c r="E45" s="44">
        <f t="shared" si="10"/>
        <v>23.119999999999997</v>
      </c>
      <c r="G45" s="28">
        <f t="shared" si="11"/>
        <v>2903171.3304732144</v>
      </c>
      <c r="H45" s="28">
        <f t="shared" si="12"/>
        <v>653213.54935647326</v>
      </c>
      <c r="I45" s="59">
        <f t="shared" si="13"/>
        <v>3556384.8798296875</v>
      </c>
      <c r="J45" s="29"/>
      <c r="K45" s="45">
        <f>VLOOKUP($B45,'Business Baseline'!$B$14:$D$23,3,FALSE)</f>
        <v>2.8500000000000001E-2</v>
      </c>
      <c r="L45" s="89">
        <f t="shared" si="14"/>
        <v>17</v>
      </c>
      <c r="M45" s="44">
        <f t="shared" si="15"/>
        <v>16.66</v>
      </c>
      <c r="N45" s="87">
        <f t="shared" si="16"/>
        <v>131549.18714285712</v>
      </c>
      <c r="O45" s="87">
        <f t="shared" si="17"/>
        <v>6577.4593571428559</v>
      </c>
      <c r="P45" s="1">
        <f t="shared" si="18"/>
        <v>2202791.1387071423</v>
      </c>
      <c r="Q45" s="1">
        <f t="shared" si="19"/>
        <v>165209.33540303569</v>
      </c>
      <c r="R45" s="59">
        <f t="shared" si="20"/>
        <v>2368000.4741101782</v>
      </c>
      <c r="S45" s="45">
        <f>VLOOKUP($B45,'Business Baseline'!$B$14:$D$23,3,FALSE)</f>
        <v>2.8500000000000001E-2</v>
      </c>
      <c r="T45" s="89">
        <f t="shared" si="21"/>
        <v>16.66</v>
      </c>
      <c r="U45" s="44">
        <f t="shared" si="22"/>
        <v>16.326799999999999</v>
      </c>
      <c r="V45" s="87">
        <f t="shared" si="23"/>
        <v>131549.18714285712</v>
      </c>
      <c r="W45" s="87">
        <f t="shared" si="24"/>
        <v>6577.4593571428559</v>
      </c>
      <c r="X45" s="1">
        <f t="shared" si="25"/>
        <v>2158735.3159329994</v>
      </c>
      <c r="Y45" s="1">
        <f t="shared" si="26"/>
        <v>161905.14869497495</v>
      </c>
      <c r="Z45" s="59">
        <f t="shared" si="27"/>
        <v>2320640.4646279742</v>
      </c>
      <c r="AA45"/>
      <c r="AB45"/>
      <c r="AC45"/>
      <c r="AD45"/>
      <c r="AE45"/>
    </row>
    <row r="46" spans="2:31" s="5" customFormat="1" x14ac:dyDescent="0.35">
      <c r="B46" t="s">
        <v>5</v>
      </c>
      <c r="C46" s="44">
        <v>19</v>
      </c>
      <c r="D46" s="45">
        <v>0.36</v>
      </c>
      <c r="E46" s="44">
        <f t="shared" si="10"/>
        <v>25.839999999999996</v>
      </c>
      <c r="G46" s="28">
        <f t="shared" si="11"/>
        <v>1354813.2875541665</v>
      </c>
      <c r="H46" s="28">
        <f t="shared" si="12"/>
        <v>304832.98969968752</v>
      </c>
      <c r="I46" s="59">
        <f t="shared" si="13"/>
        <v>1659646.2772538541</v>
      </c>
      <c r="J46" s="29"/>
      <c r="K46" s="45">
        <f>VLOOKUP($B46,'Business Baseline'!$B$14:$D$23,3,FALSE)</f>
        <v>1.1900000000000001E-2</v>
      </c>
      <c r="L46" s="89">
        <f t="shared" si="14"/>
        <v>19</v>
      </c>
      <c r="M46" s="44">
        <f t="shared" si="15"/>
        <v>18.62</v>
      </c>
      <c r="N46" s="87">
        <f t="shared" si="16"/>
        <v>54927.55533333333</v>
      </c>
      <c r="O46" s="87">
        <f t="shared" si="17"/>
        <v>2746.3777666666665</v>
      </c>
      <c r="P46" s="1">
        <f t="shared" si="18"/>
        <v>1027969.1980633333</v>
      </c>
      <c r="Q46" s="1">
        <f t="shared" si="19"/>
        <v>77097.689854750002</v>
      </c>
      <c r="R46" s="59">
        <f t="shared" si="20"/>
        <v>1105066.8879180832</v>
      </c>
      <c r="S46" s="45">
        <f>VLOOKUP($B46,'Business Baseline'!$B$14:$D$23,3,FALSE)</f>
        <v>1.1900000000000001E-2</v>
      </c>
      <c r="T46" s="89">
        <f t="shared" si="21"/>
        <v>18.62</v>
      </c>
      <c r="U46" s="44">
        <f t="shared" si="22"/>
        <v>18.247600000000002</v>
      </c>
      <c r="V46" s="87">
        <f t="shared" si="23"/>
        <v>54927.55533333333</v>
      </c>
      <c r="W46" s="87">
        <f t="shared" si="24"/>
        <v>2746.3777666666665</v>
      </c>
      <c r="X46" s="1">
        <f t="shared" si="25"/>
        <v>1007409.8141020667</v>
      </c>
      <c r="Y46" s="1">
        <f t="shared" si="26"/>
        <v>75555.736057654998</v>
      </c>
      <c r="Z46" s="59">
        <f t="shared" si="27"/>
        <v>1082965.5501597216</v>
      </c>
      <c r="AA46"/>
      <c r="AB46"/>
      <c r="AC46"/>
      <c r="AD46"/>
      <c r="AE46"/>
    </row>
    <row r="47" spans="2:31" s="5" customFormat="1" x14ac:dyDescent="0.35">
      <c r="B47" t="s">
        <v>7</v>
      </c>
      <c r="C47" s="44">
        <v>20</v>
      </c>
      <c r="D47" s="45">
        <v>0.36</v>
      </c>
      <c r="E47" s="44">
        <f t="shared" si="10"/>
        <v>27.199999999999996</v>
      </c>
      <c r="G47" s="28">
        <f t="shared" si="11"/>
        <v>359525.86135891196</v>
      </c>
      <c r="H47" s="28">
        <f t="shared" si="12"/>
        <v>80893.318805755189</v>
      </c>
      <c r="I47" s="59">
        <f t="shared" si="13"/>
        <v>440419.18016466714</v>
      </c>
      <c r="J47" s="29"/>
      <c r="K47" s="45">
        <f>VLOOKUP($B47,'Business Baseline'!$B$14:$D$23,3,FALSE)</f>
        <v>3.0000000000000001E-3</v>
      </c>
      <c r="L47" s="89">
        <f t="shared" si="14"/>
        <v>20</v>
      </c>
      <c r="M47" s="44">
        <f t="shared" si="15"/>
        <v>19.600000000000001</v>
      </c>
      <c r="N47" s="87">
        <f t="shared" si="16"/>
        <v>13847.282857142854</v>
      </c>
      <c r="O47" s="87">
        <f t="shared" si="17"/>
        <v>692.36414285714272</v>
      </c>
      <c r="P47" s="1">
        <f t="shared" si="18"/>
        <v>272791.47228571423</v>
      </c>
      <c r="Q47" s="1">
        <f t="shared" si="19"/>
        <v>20459.36042142857</v>
      </c>
      <c r="R47" s="59">
        <f t="shared" si="20"/>
        <v>293250.83270714281</v>
      </c>
      <c r="S47" s="45">
        <f>VLOOKUP($B47,'Business Baseline'!$B$14:$D$23,3,FALSE)</f>
        <v>3.0000000000000001E-3</v>
      </c>
      <c r="T47" s="89">
        <f t="shared" si="21"/>
        <v>19.600000000000001</v>
      </c>
      <c r="U47" s="44">
        <f t="shared" si="22"/>
        <v>19.208000000000002</v>
      </c>
      <c r="V47" s="87">
        <f t="shared" si="23"/>
        <v>13847.282857142854</v>
      </c>
      <c r="W47" s="87">
        <f t="shared" si="24"/>
        <v>692.36414285714272</v>
      </c>
      <c r="X47" s="1">
        <f t="shared" si="25"/>
        <v>267335.64283999999</v>
      </c>
      <c r="Y47" s="1">
        <f t="shared" si="26"/>
        <v>20050.173212999995</v>
      </c>
      <c r="Z47" s="59">
        <f t="shared" si="27"/>
        <v>287385.81605299999</v>
      </c>
      <c r="AA47"/>
      <c r="AB47"/>
      <c r="AC47"/>
      <c r="AD47"/>
      <c r="AE47"/>
    </row>
    <row r="48" spans="2:31" s="5" customFormat="1" x14ac:dyDescent="0.35">
      <c r="B48" t="s">
        <v>9</v>
      </c>
      <c r="C48" s="44">
        <v>22</v>
      </c>
      <c r="D48" s="45">
        <v>0.36</v>
      </c>
      <c r="E48" s="44">
        <f t="shared" si="10"/>
        <v>29.919999999999998</v>
      </c>
      <c r="G48" s="42">
        <f t="shared" si="11"/>
        <v>171373.99391441469</v>
      </c>
      <c r="H48" s="42">
        <f t="shared" si="12"/>
        <v>38559.148630743308</v>
      </c>
      <c r="I48" s="60">
        <f t="shared" si="13"/>
        <v>209933.14254515799</v>
      </c>
      <c r="J48" s="29"/>
      <c r="K48" s="80">
        <f>VLOOKUP($B48,'Business Baseline'!$B$14:$D$23,3,FALSE)</f>
        <v>1.2999999999999999E-3</v>
      </c>
      <c r="L48" s="90">
        <f t="shared" si="14"/>
        <v>22</v>
      </c>
      <c r="M48" s="79">
        <f t="shared" si="15"/>
        <v>21.56</v>
      </c>
      <c r="N48" s="88">
        <f t="shared" si="16"/>
        <v>6000.4892380952369</v>
      </c>
      <c r="O48" s="88">
        <f t="shared" si="17"/>
        <v>300.02446190476184</v>
      </c>
      <c r="P48" s="81">
        <f t="shared" si="18"/>
        <v>130030.60178952379</v>
      </c>
      <c r="Q48" s="81">
        <f t="shared" si="19"/>
        <v>9752.2951342142842</v>
      </c>
      <c r="R48" s="60">
        <f t="shared" si="20"/>
        <v>139782.89692373807</v>
      </c>
      <c r="S48" s="80">
        <f>VLOOKUP($B48,'Business Baseline'!$B$14:$D$23,3,FALSE)</f>
        <v>1.2999999999999999E-3</v>
      </c>
      <c r="T48" s="90">
        <f t="shared" si="21"/>
        <v>21.56</v>
      </c>
      <c r="U48" s="79">
        <f t="shared" si="22"/>
        <v>21.128799999999998</v>
      </c>
      <c r="V48" s="88">
        <f t="shared" si="23"/>
        <v>6000.4892380952369</v>
      </c>
      <c r="W48" s="88">
        <f t="shared" si="24"/>
        <v>300.02446190476184</v>
      </c>
      <c r="X48" s="1">
        <f t="shared" si="25"/>
        <v>127429.9897537333</v>
      </c>
      <c r="Y48" s="1">
        <f t="shared" si="26"/>
        <v>9557.2492315299969</v>
      </c>
      <c r="Z48" s="60">
        <f t="shared" si="27"/>
        <v>136987.23898526331</v>
      </c>
      <c r="AA48"/>
      <c r="AB48"/>
      <c r="AC48"/>
      <c r="AD48"/>
      <c r="AE48"/>
    </row>
    <row r="49" spans="2:26" x14ac:dyDescent="0.35">
      <c r="B49" s="5" t="s">
        <v>13</v>
      </c>
      <c r="D49" s="5"/>
      <c r="E49" s="29"/>
      <c r="F49" s="29"/>
      <c r="G49" s="29">
        <f>SUM(G39:G48)</f>
        <v>92230367.633939534</v>
      </c>
      <c r="H49" s="29">
        <f>SUM(H39:H48)</f>
        <v>20751832.717636399</v>
      </c>
      <c r="I49" s="59">
        <f>SUM(I39:I48)</f>
        <v>112982200.35157597</v>
      </c>
      <c r="L49" s="5"/>
      <c r="M49" s="29"/>
      <c r="N49" s="29">
        <f>SUM(N39:N48)</f>
        <v>4615760.9523809524</v>
      </c>
      <c r="O49" s="29">
        <f>SUM(O39:O48)</f>
        <v>230788.0476190476</v>
      </c>
      <c r="P49" s="82">
        <f>SUM(P39:P48)</f>
        <v>69980105.690361887</v>
      </c>
      <c r="Q49" s="83">
        <f>SUM(Q39:Q48)</f>
        <v>5248507.9267771421</v>
      </c>
      <c r="R49" s="59">
        <f>SUM(R39:R48)</f>
        <v>75228613.617139012</v>
      </c>
      <c r="T49" s="5"/>
      <c r="U49" s="29"/>
      <c r="V49" s="29">
        <f>SUM(V39:V48)</f>
        <v>4615760.9523809524</v>
      </c>
      <c r="W49" s="29">
        <f>SUM(W39:W48)</f>
        <v>230788.0476190476</v>
      </c>
      <c r="X49" s="82">
        <f>SUM(X39:X48)</f>
        <v>68580503.576554656</v>
      </c>
      <c r="Y49" s="83">
        <f>SUM(Y39:Y48)</f>
        <v>5143537.7682416001</v>
      </c>
      <c r="Z49" s="59">
        <f>SUM(Z39:Z48)</f>
        <v>73724041.34479627</v>
      </c>
    </row>
    <row r="50" spans="2:26" x14ac:dyDescent="0.35">
      <c r="D50" s="5"/>
      <c r="E50" s="29"/>
      <c r="F50" s="29"/>
      <c r="G50" s="29"/>
      <c r="H50" s="29"/>
      <c r="I50" s="59"/>
      <c r="R50" s="59"/>
      <c r="Z50" s="59"/>
    </row>
    <row r="51" spans="2:26" x14ac:dyDescent="0.35">
      <c r="B51" s="41" t="s">
        <v>144</v>
      </c>
      <c r="C51" s="41"/>
      <c r="D51" s="41"/>
      <c r="E51" s="40"/>
      <c r="F51" s="40"/>
      <c r="G51" s="40"/>
      <c r="H51" s="40"/>
      <c r="I51" s="61"/>
      <c r="K51" s="36"/>
      <c r="L51" s="41"/>
      <c r="M51" s="40"/>
      <c r="N51" s="86"/>
      <c r="O51" s="40"/>
      <c r="P51" s="40"/>
      <c r="Q51" s="40"/>
      <c r="R51" s="61"/>
      <c r="S51" s="36"/>
      <c r="T51" s="41"/>
      <c r="U51" s="40"/>
      <c r="V51" s="86"/>
      <c r="W51" s="40"/>
      <c r="X51" s="40"/>
      <c r="Y51" s="40"/>
      <c r="Z51" s="61"/>
    </row>
    <row r="52" spans="2:26" x14ac:dyDescent="0.35">
      <c r="C52" s="6" t="s">
        <v>33</v>
      </c>
      <c r="D52" s="6" t="s">
        <v>1</v>
      </c>
      <c r="E52" s="6" t="s">
        <v>55</v>
      </c>
      <c r="G52" s="6" t="s">
        <v>49</v>
      </c>
      <c r="H52" s="6" t="s">
        <v>50</v>
      </c>
      <c r="I52" s="58" t="s">
        <v>67</v>
      </c>
      <c r="K52" s="6" t="s">
        <v>53</v>
      </c>
      <c r="L52" s="6" t="s">
        <v>33</v>
      </c>
      <c r="M52" s="6" t="s">
        <v>78</v>
      </c>
      <c r="N52" s="5" t="s">
        <v>51</v>
      </c>
      <c r="O52" s="6" t="s">
        <v>52</v>
      </c>
      <c r="P52" s="6" t="s">
        <v>49</v>
      </c>
      <c r="Q52" s="6" t="s">
        <v>50</v>
      </c>
      <c r="R52" s="58" t="s">
        <v>76</v>
      </c>
      <c r="S52" s="6" t="s">
        <v>53</v>
      </c>
      <c r="T52" s="6" t="s">
        <v>33</v>
      </c>
      <c r="U52" s="6" t="s">
        <v>78</v>
      </c>
      <c r="V52" s="5" t="s">
        <v>51</v>
      </c>
      <c r="W52" s="6" t="s">
        <v>52</v>
      </c>
      <c r="X52" s="6" t="s">
        <v>49</v>
      </c>
      <c r="Y52" s="6" t="s">
        <v>50</v>
      </c>
      <c r="Z52" s="58" t="s">
        <v>76</v>
      </c>
    </row>
    <row r="53" spans="2:26" x14ac:dyDescent="0.35">
      <c r="B53" t="s">
        <v>10</v>
      </c>
      <c r="C53" s="44">
        <v>15</v>
      </c>
      <c r="D53" s="45">
        <v>0.36</v>
      </c>
      <c r="E53" s="44">
        <f t="shared" ref="E53:E62" si="28">C53*(1+D53)</f>
        <v>20.399999999999999</v>
      </c>
      <c r="G53" s="28">
        <f t="shared" ref="G53:G62" si="29">E25*E53</f>
        <v>35503178.809192561</v>
      </c>
      <c r="H53" s="28">
        <f t="shared" ref="H53:H62" si="30">F25*1.5*E53</f>
        <v>7988215.2320683263</v>
      </c>
      <c r="I53" s="59">
        <f t="shared" ref="I53:I62" si="31">SUM(G53:H53)</f>
        <v>43491394.041260883</v>
      </c>
      <c r="K53" s="45">
        <f>VLOOKUP($B53,'Business Baseline'!$B$14:$D$23,3,FALSE)</f>
        <v>0.39500000000000002</v>
      </c>
      <c r="L53" s="89">
        <f t="shared" ref="L53:L62" si="32">($M$13+1)*C53</f>
        <v>14.7</v>
      </c>
      <c r="M53" s="44">
        <f t="shared" ref="M53:M62" si="33">L53*(1+$M$13)</f>
        <v>14.405999999999999</v>
      </c>
      <c r="N53" s="87">
        <f t="shared" ref="N53:N62" si="34">K53*$M$15</f>
        <v>1823225.5761904758</v>
      </c>
      <c r="O53" s="87">
        <f t="shared" ref="O53:O62" si="35">K53*$M$16</f>
        <v>91161.278809523792</v>
      </c>
      <c r="P53" s="1">
        <f t="shared" ref="P53:P62" si="36">(N53*M53*(1-$M$18))+(L53*N53*$M$18)</f>
        <v>26399394.730449997</v>
      </c>
      <c r="Q53" s="1">
        <f t="shared" ref="Q53:Q62" si="37">(O53*M53*1.5*(1-$M$18))+(L53*O53*1.5*$M$18)</f>
        <v>1979954.6047837494</v>
      </c>
      <c r="R53" s="59">
        <f t="shared" ref="R53:R62" si="38">SUM(P53:Q53)</f>
        <v>28379349.335233748</v>
      </c>
      <c r="S53" s="45">
        <f>VLOOKUP($B53,'Business Baseline'!$B$14:$D$23,3,FALSE)</f>
        <v>0.39500000000000002</v>
      </c>
      <c r="T53" s="89">
        <f t="shared" ref="T53:T62" si="39">M53</f>
        <v>14.405999999999999</v>
      </c>
      <c r="U53" s="44">
        <f t="shared" ref="U53:U62" si="40">T53*(1+$M$13)</f>
        <v>14.117879999999998</v>
      </c>
      <c r="V53" s="87">
        <f t="shared" ref="V53:V62" si="41">S53*$M$15</f>
        <v>1823225.5761904758</v>
      </c>
      <c r="W53" s="87">
        <f t="shared" ref="W53:W62" si="42">S53*$M$16</f>
        <v>91161.278809523792</v>
      </c>
      <c r="X53" s="1">
        <f t="shared" ref="X53:X62" si="43">(V53*U53*(1-$M$18))+(T53*V53*$M$18)</f>
        <v>25871406.835840993</v>
      </c>
      <c r="Y53" s="1">
        <f t="shared" ref="Y53:Y62" si="44">(W53*U53*1.5*(1-$M$18))+(T53*W53*1.5*$M$18)</f>
        <v>1940355.5126880745</v>
      </c>
      <c r="Z53" s="59">
        <f t="shared" ref="Z53:Z62" si="45">SUM(X53:Y53)</f>
        <v>27811762.348529067</v>
      </c>
    </row>
    <row r="54" spans="2:26" x14ac:dyDescent="0.35">
      <c r="B54" t="s">
        <v>4</v>
      </c>
      <c r="C54" s="44">
        <v>14.5</v>
      </c>
      <c r="D54" s="45">
        <v>0.36</v>
      </c>
      <c r="E54" s="44">
        <f t="shared" si="28"/>
        <v>19.72</v>
      </c>
      <c r="G54" s="28">
        <f t="shared" si="29"/>
        <v>29766943.691211116</v>
      </c>
      <c r="H54" s="28">
        <f t="shared" si="30"/>
        <v>6697562.3305225018</v>
      </c>
      <c r="I54" s="59">
        <f t="shared" si="31"/>
        <v>36464506.021733619</v>
      </c>
      <c r="K54" s="45">
        <f>VLOOKUP($B54,'Business Baseline'!$B$14:$D$23,3,FALSE)</f>
        <v>0.34260000000000002</v>
      </c>
      <c r="L54" s="89">
        <f t="shared" si="32"/>
        <v>14.209999999999999</v>
      </c>
      <c r="M54" s="44">
        <f t="shared" si="33"/>
        <v>13.925799999999999</v>
      </c>
      <c r="N54" s="87">
        <f t="shared" si="34"/>
        <v>1581359.702285714</v>
      </c>
      <c r="O54" s="87">
        <f t="shared" si="35"/>
        <v>79067.985114285708</v>
      </c>
      <c r="P54" s="1">
        <f t="shared" si="36"/>
        <v>22134054.548937794</v>
      </c>
      <c r="Q54" s="1">
        <f t="shared" si="37"/>
        <v>1660054.0911703347</v>
      </c>
      <c r="R54" s="59">
        <f t="shared" si="38"/>
        <v>23794108.640108127</v>
      </c>
      <c r="S54" s="45">
        <f>VLOOKUP($B54,'Business Baseline'!$B$14:$D$23,3,FALSE)</f>
        <v>0.34260000000000002</v>
      </c>
      <c r="T54" s="89">
        <f t="shared" si="39"/>
        <v>13.925799999999999</v>
      </c>
      <c r="U54" s="44">
        <f t="shared" si="40"/>
        <v>13.647283999999999</v>
      </c>
      <c r="V54" s="87">
        <f t="shared" si="41"/>
        <v>1581359.702285714</v>
      </c>
      <c r="W54" s="87">
        <f t="shared" si="42"/>
        <v>79067.985114285708</v>
      </c>
      <c r="X54" s="1">
        <f t="shared" si="43"/>
        <v>21691373.457959041</v>
      </c>
      <c r="Y54" s="1">
        <f t="shared" si="44"/>
        <v>1626853.009346928</v>
      </c>
      <c r="Z54" s="59">
        <f t="shared" si="45"/>
        <v>23318226.467305969</v>
      </c>
    </row>
    <row r="55" spans="2:26" x14ac:dyDescent="0.35">
      <c r="B55" t="s">
        <v>3</v>
      </c>
      <c r="C55" s="44">
        <v>16</v>
      </c>
      <c r="D55" s="45">
        <v>0.36</v>
      </c>
      <c r="E55" s="44">
        <f t="shared" si="28"/>
        <v>21.759999999999998</v>
      </c>
      <c r="G55" s="28">
        <f t="shared" si="29"/>
        <v>8149252.8574686712</v>
      </c>
      <c r="H55" s="28">
        <f t="shared" si="30"/>
        <v>1833581.8929304513</v>
      </c>
      <c r="I55" s="59">
        <f t="shared" si="31"/>
        <v>9982834.750399122</v>
      </c>
      <c r="K55" s="45">
        <f>VLOOKUP($B55,'Business Baseline'!$B$14:$D$23,3,FALSE)</f>
        <v>8.5000000000000006E-2</v>
      </c>
      <c r="L55" s="89">
        <f t="shared" si="32"/>
        <v>15.68</v>
      </c>
      <c r="M55" s="44">
        <f t="shared" si="33"/>
        <v>15.366399999999999</v>
      </c>
      <c r="N55" s="87">
        <f t="shared" si="34"/>
        <v>392339.68095238088</v>
      </c>
      <c r="O55" s="87">
        <f t="shared" si="35"/>
        <v>19616.984047619044</v>
      </c>
      <c r="P55" s="1">
        <f t="shared" si="36"/>
        <v>6059607.9043733319</v>
      </c>
      <c r="Q55" s="1">
        <f t="shared" si="37"/>
        <v>454470.59282799991</v>
      </c>
      <c r="R55" s="59">
        <f t="shared" si="38"/>
        <v>6514078.4972013319</v>
      </c>
      <c r="S55" s="45">
        <f>VLOOKUP($B55,'Business Baseline'!$B$14:$D$23,3,FALSE)</f>
        <v>8.5000000000000006E-2</v>
      </c>
      <c r="T55" s="89">
        <f t="shared" si="39"/>
        <v>15.366399999999999</v>
      </c>
      <c r="U55" s="44">
        <f t="shared" si="40"/>
        <v>15.059071999999999</v>
      </c>
      <c r="V55" s="87">
        <f t="shared" si="41"/>
        <v>392339.68095238088</v>
      </c>
      <c r="W55" s="87">
        <f t="shared" si="42"/>
        <v>19616.984047619044</v>
      </c>
      <c r="X55" s="1">
        <f t="shared" si="43"/>
        <v>5938415.7462858651</v>
      </c>
      <c r="Y55" s="1">
        <f t="shared" si="44"/>
        <v>445381.18097143987</v>
      </c>
      <c r="Z55" s="59">
        <f t="shared" si="45"/>
        <v>6383796.927257305</v>
      </c>
    </row>
    <row r="56" spans="2:26" x14ac:dyDescent="0.35">
      <c r="B56" t="s">
        <v>29</v>
      </c>
      <c r="C56" s="44">
        <v>17</v>
      </c>
      <c r="D56" s="45">
        <v>0.36</v>
      </c>
      <c r="E56" s="44">
        <f t="shared" si="28"/>
        <v>23.119999999999997</v>
      </c>
      <c r="G56" s="28">
        <f t="shared" si="29"/>
        <v>4940484.5448403815</v>
      </c>
      <c r="H56" s="28">
        <f t="shared" si="30"/>
        <v>1111609.0225890861</v>
      </c>
      <c r="I56" s="59">
        <f t="shared" si="31"/>
        <v>6052093.567429468</v>
      </c>
      <c r="K56" s="45">
        <f>VLOOKUP($B56,'Business Baseline'!$B$14:$D$23,3,FALSE)</f>
        <v>4.8500000000000001E-2</v>
      </c>
      <c r="L56" s="89">
        <f t="shared" si="32"/>
        <v>16.66</v>
      </c>
      <c r="M56" s="44">
        <f t="shared" si="33"/>
        <v>16.326799999999999</v>
      </c>
      <c r="N56" s="87">
        <f t="shared" si="34"/>
        <v>223864.40619047615</v>
      </c>
      <c r="O56" s="87">
        <f t="shared" si="35"/>
        <v>11193.220309523807</v>
      </c>
      <c r="P56" s="1">
        <f t="shared" si="36"/>
        <v>3673637.2920263321</v>
      </c>
      <c r="Q56" s="1">
        <f t="shared" si="37"/>
        <v>275522.79690197494</v>
      </c>
      <c r="R56" s="59">
        <f t="shared" si="38"/>
        <v>3949160.0889283069</v>
      </c>
      <c r="S56" s="45">
        <f>VLOOKUP($B56,'Business Baseline'!$B$14:$D$23,3,FALSE)</f>
        <v>4.8500000000000001E-2</v>
      </c>
      <c r="T56" s="89">
        <f t="shared" si="39"/>
        <v>16.326799999999999</v>
      </c>
      <c r="U56" s="44">
        <f t="shared" si="40"/>
        <v>16.000263999999998</v>
      </c>
      <c r="V56" s="87">
        <f t="shared" si="41"/>
        <v>223864.40619047615</v>
      </c>
      <c r="W56" s="87">
        <f t="shared" si="42"/>
        <v>11193.220309523807</v>
      </c>
      <c r="X56" s="1">
        <f t="shared" si="43"/>
        <v>3600164.5461858055</v>
      </c>
      <c r="Y56" s="1">
        <f t="shared" si="44"/>
        <v>270012.34096393536</v>
      </c>
      <c r="Z56" s="59">
        <f t="shared" si="45"/>
        <v>3870176.8871497409</v>
      </c>
    </row>
    <row r="57" spans="2:26" x14ac:dyDescent="0.35">
      <c r="B57" t="s">
        <v>6</v>
      </c>
      <c r="C57" s="44">
        <v>18</v>
      </c>
      <c r="D57" s="45">
        <v>0.36</v>
      </c>
      <c r="E57" s="44">
        <f t="shared" si="28"/>
        <v>24.479999999999997</v>
      </c>
      <c r="G57" s="28">
        <f t="shared" si="29"/>
        <v>5090886.1968421927</v>
      </c>
      <c r="H57" s="28">
        <f t="shared" si="30"/>
        <v>1145449.3942894936</v>
      </c>
      <c r="I57" s="59">
        <f t="shared" si="31"/>
        <v>6236335.5911316862</v>
      </c>
      <c r="K57" s="45">
        <f>VLOOKUP($B57,'Business Baseline'!$B$14:$D$23,3,FALSE)</f>
        <v>4.7199999999999999E-2</v>
      </c>
      <c r="L57" s="89">
        <f t="shared" si="32"/>
        <v>17.64</v>
      </c>
      <c r="M57" s="44">
        <f t="shared" si="33"/>
        <v>17.287199999999999</v>
      </c>
      <c r="N57" s="87">
        <f t="shared" si="34"/>
        <v>217863.91695238091</v>
      </c>
      <c r="O57" s="87">
        <f t="shared" si="35"/>
        <v>10893.195847619045</v>
      </c>
      <c r="P57" s="1">
        <f t="shared" si="36"/>
        <v>3785472.7026143991</v>
      </c>
      <c r="Q57" s="1">
        <f t="shared" si="37"/>
        <v>283910.45269607991</v>
      </c>
      <c r="R57" s="59">
        <f t="shared" si="38"/>
        <v>4069383.155310479</v>
      </c>
      <c r="S57" s="45">
        <f>VLOOKUP($B57,'Business Baseline'!$B$14:$D$23,3,FALSE)</f>
        <v>4.7199999999999999E-2</v>
      </c>
      <c r="T57" s="89">
        <f t="shared" si="39"/>
        <v>17.287199999999999</v>
      </c>
      <c r="U57" s="44">
        <f t="shared" si="40"/>
        <v>16.941455999999999</v>
      </c>
      <c r="V57" s="87">
        <f t="shared" si="41"/>
        <v>217863.91695238091</v>
      </c>
      <c r="W57" s="87">
        <f t="shared" si="42"/>
        <v>10893.195847619045</v>
      </c>
      <c r="X57" s="1">
        <f t="shared" si="43"/>
        <v>3709763.2485621115</v>
      </c>
      <c r="Y57" s="1">
        <f t="shared" si="44"/>
        <v>278232.24364215834</v>
      </c>
      <c r="Z57" s="59">
        <f t="shared" si="45"/>
        <v>3987995.4922042699</v>
      </c>
    </row>
    <row r="58" spans="2:26" x14ac:dyDescent="0.35">
      <c r="B58" t="s">
        <v>30</v>
      </c>
      <c r="C58" s="44">
        <v>18</v>
      </c>
      <c r="D58" s="45">
        <v>0.36</v>
      </c>
      <c r="E58" s="44">
        <f t="shared" si="28"/>
        <v>24.479999999999997</v>
      </c>
      <c r="G58" s="28">
        <f t="shared" si="29"/>
        <v>3990737.0610839222</v>
      </c>
      <c r="H58" s="28">
        <f t="shared" si="30"/>
        <v>897915.83874388272</v>
      </c>
      <c r="I58" s="59">
        <f t="shared" si="31"/>
        <v>4888652.8998278044</v>
      </c>
      <c r="K58" s="45">
        <f>VLOOKUP($B58,'Business Baseline'!$B$14:$D$23,3,FALSE)</f>
        <v>3.6999999999999998E-2</v>
      </c>
      <c r="L58" s="89">
        <f t="shared" si="32"/>
        <v>17.64</v>
      </c>
      <c r="M58" s="44">
        <f t="shared" si="33"/>
        <v>17.287199999999999</v>
      </c>
      <c r="N58" s="87">
        <f t="shared" si="34"/>
        <v>170783.15523809521</v>
      </c>
      <c r="O58" s="87">
        <f t="shared" si="35"/>
        <v>8539.1577619047603</v>
      </c>
      <c r="P58" s="1">
        <f t="shared" si="36"/>
        <v>2967425.6355239991</v>
      </c>
      <c r="Q58" s="1">
        <f t="shared" si="37"/>
        <v>222556.92266429996</v>
      </c>
      <c r="R58" s="59">
        <f t="shared" si="38"/>
        <v>3189982.5581882992</v>
      </c>
      <c r="S58" s="45">
        <f>VLOOKUP($B58,'Business Baseline'!$B$14:$D$23,3,FALSE)</f>
        <v>3.6999999999999998E-2</v>
      </c>
      <c r="T58" s="89">
        <f t="shared" si="39"/>
        <v>17.287199999999999</v>
      </c>
      <c r="U58" s="44">
        <f t="shared" si="40"/>
        <v>16.941455999999999</v>
      </c>
      <c r="V58" s="87">
        <f t="shared" si="41"/>
        <v>170783.15523809521</v>
      </c>
      <c r="W58" s="87">
        <f t="shared" si="42"/>
        <v>8539.1577619047603</v>
      </c>
      <c r="X58" s="1">
        <f t="shared" si="43"/>
        <v>2908077.1228135191</v>
      </c>
      <c r="Y58" s="1">
        <f t="shared" si="44"/>
        <v>218105.78421101396</v>
      </c>
      <c r="Z58" s="59">
        <f t="shared" si="45"/>
        <v>3126182.907024533</v>
      </c>
    </row>
    <row r="59" spans="2:26" x14ac:dyDescent="0.35">
      <c r="B59" t="s">
        <v>11</v>
      </c>
      <c r="C59" s="44">
        <v>17</v>
      </c>
      <c r="D59" s="45">
        <v>0.36</v>
      </c>
      <c r="E59" s="44">
        <f t="shared" si="28"/>
        <v>23.119999999999997</v>
      </c>
      <c r="G59" s="28">
        <f t="shared" si="29"/>
        <v>2903171.3304732144</v>
      </c>
      <c r="H59" s="28">
        <f t="shared" si="30"/>
        <v>653213.54935647326</v>
      </c>
      <c r="I59" s="59">
        <f t="shared" si="31"/>
        <v>3556384.8798296875</v>
      </c>
      <c r="K59" s="45">
        <f>VLOOKUP($B59,'Business Baseline'!$B$14:$D$23,3,FALSE)</f>
        <v>2.8500000000000001E-2</v>
      </c>
      <c r="L59" s="89">
        <f t="shared" si="32"/>
        <v>16.66</v>
      </c>
      <c r="M59" s="44">
        <f t="shared" si="33"/>
        <v>16.326799999999999</v>
      </c>
      <c r="N59" s="87">
        <f t="shared" si="34"/>
        <v>131549.18714285712</v>
      </c>
      <c r="O59" s="87">
        <f t="shared" si="35"/>
        <v>6577.4593571428559</v>
      </c>
      <c r="P59" s="1">
        <f t="shared" si="36"/>
        <v>2158735.3159329994</v>
      </c>
      <c r="Q59" s="1">
        <f t="shared" si="37"/>
        <v>161905.14869497495</v>
      </c>
      <c r="R59" s="59">
        <f t="shared" si="38"/>
        <v>2320640.4646279742</v>
      </c>
      <c r="S59" s="45">
        <f>VLOOKUP($B59,'Business Baseline'!$B$14:$D$23,3,FALSE)</f>
        <v>2.8500000000000001E-2</v>
      </c>
      <c r="T59" s="89">
        <f t="shared" si="39"/>
        <v>16.326799999999999</v>
      </c>
      <c r="U59" s="44">
        <f t="shared" si="40"/>
        <v>16.000263999999998</v>
      </c>
      <c r="V59" s="87">
        <f t="shared" si="41"/>
        <v>131549.18714285712</v>
      </c>
      <c r="W59" s="87">
        <f t="shared" si="42"/>
        <v>6577.4593571428559</v>
      </c>
      <c r="X59" s="1">
        <f t="shared" si="43"/>
        <v>2115560.6096143397</v>
      </c>
      <c r="Y59" s="1">
        <f t="shared" si="44"/>
        <v>158667.04572107544</v>
      </c>
      <c r="Z59" s="59">
        <f t="shared" si="45"/>
        <v>2274227.6553354152</v>
      </c>
    </row>
    <row r="60" spans="2:26" x14ac:dyDescent="0.35">
      <c r="B60" t="s">
        <v>5</v>
      </c>
      <c r="C60" s="44">
        <v>19</v>
      </c>
      <c r="D60" s="45">
        <v>0.36</v>
      </c>
      <c r="E60" s="44">
        <f t="shared" si="28"/>
        <v>25.839999999999996</v>
      </c>
      <c r="G60" s="28">
        <f t="shared" si="29"/>
        <v>1354813.2875541665</v>
      </c>
      <c r="H60" s="28">
        <f t="shared" si="30"/>
        <v>304832.98969968752</v>
      </c>
      <c r="I60" s="59">
        <f t="shared" si="31"/>
        <v>1659646.2772538541</v>
      </c>
      <c r="K60" s="45">
        <f>VLOOKUP($B60,'Business Baseline'!$B$14:$D$23,3,FALSE)</f>
        <v>1.1900000000000001E-2</v>
      </c>
      <c r="L60" s="89">
        <f t="shared" si="32"/>
        <v>18.62</v>
      </c>
      <c r="M60" s="44">
        <f t="shared" si="33"/>
        <v>18.247600000000002</v>
      </c>
      <c r="N60" s="87">
        <f t="shared" si="34"/>
        <v>54927.55533333333</v>
      </c>
      <c r="O60" s="87">
        <f t="shared" si="35"/>
        <v>2746.3777666666665</v>
      </c>
      <c r="P60" s="1">
        <f t="shared" si="36"/>
        <v>1007409.8141020667</v>
      </c>
      <c r="Q60" s="1">
        <f t="shared" si="37"/>
        <v>75555.736057654998</v>
      </c>
      <c r="R60" s="59">
        <f t="shared" si="38"/>
        <v>1082965.5501597216</v>
      </c>
      <c r="S60" s="45">
        <f>VLOOKUP($B60,'Business Baseline'!$B$14:$D$23,3,FALSE)</f>
        <v>1.1900000000000001E-2</v>
      </c>
      <c r="T60" s="89">
        <f t="shared" si="39"/>
        <v>18.247600000000002</v>
      </c>
      <c r="U60" s="44">
        <f t="shared" si="40"/>
        <v>17.882648000000003</v>
      </c>
      <c r="V60" s="87">
        <f t="shared" si="41"/>
        <v>54927.55533333333</v>
      </c>
      <c r="W60" s="87">
        <f t="shared" si="42"/>
        <v>2746.3777666666665</v>
      </c>
      <c r="X60" s="1">
        <f t="shared" si="43"/>
        <v>987261.61782002542</v>
      </c>
      <c r="Y60" s="1">
        <f t="shared" si="44"/>
        <v>74044.621336501907</v>
      </c>
      <c r="Z60" s="59">
        <f t="shared" si="45"/>
        <v>1061306.2391565274</v>
      </c>
    </row>
    <row r="61" spans="2:26" x14ac:dyDescent="0.35">
      <c r="B61" t="s">
        <v>7</v>
      </c>
      <c r="C61" s="44">
        <v>20</v>
      </c>
      <c r="D61" s="45">
        <v>0.36</v>
      </c>
      <c r="E61" s="44">
        <f t="shared" si="28"/>
        <v>27.199999999999996</v>
      </c>
      <c r="G61" s="28">
        <f t="shared" si="29"/>
        <v>359525.86135891196</v>
      </c>
      <c r="H61" s="28">
        <f t="shared" si="30"/>
        <v>80893.318805755189</v>
      </c>
      <c r="I61" s="59">
        <f t="shared" si="31"/>
        <v>440419.18016466714</v>
      </c>
      <c r="K61" s="45">
        <f>VLOOKUP($B61,'Business Baseline'!$B$14:$D$23,3,FALSE)</f>
        <v>3.0000000000000001E-3</v>
      </c>
      <c r="L61" s="89">
        <f t="shared" si="32"/>
        <v>19.600000000000001</v>
      </c>
      <c r="M61" s="44">
        <f t="shared" si="33"/>
        <v>19.208000000000002</v>
      </c>
      <c r="N61" s="87">
        <f t="shared" si="34"/>
        <v>13847.282857142854</v>
      </c>
      <c r="O61" s="87">
        <f t="shared" si="35"/>
        <v>692.36414285714272</v>
      </c>
      <c r="P61" s="1">
        <f t="shared" si="36"/>
        <v>267335.64283999999</v>
      </c>
      <c r="Q61" s="1">
        <f t="shared" si="37"/>
        <v>20050.173212999995</v>
      </c>
      <c r="R61" s="59">
        <f t="shared" si="38"/>
        <v>287385.81605299999</v>
      </c>
      <c r="S61" s="45">
        <f>VLOOKUP($B61,'Business Baseline'!$B$14:$D$23,3,FALSE)</f>
        <v>3.0000000000000001E-3</v>
      </c>
      <c r="T61" s="89">
        <f t="shared" si="39"/>
        <v>19.208000000000002</v>
      </c>
      <c r="U61" s="44">
        <f t="shared" si="40"/>
        <v>18.823840000000001</v>
      </c>
      <c r="V61" s="87">
        <f t="shared" si="41"/>
        <v>13847.282857142854</v>
      </c>
      <c r="W61" s="87">
        <f t="shared" si="42"/>
        <v>692.36414285714272</v>
      </c>
      <c r="X61" s="1">
        <f t="shared" si="43"/>
        <v>261988.92998319992</v>
      </c>
      <c r="Y61" s="1">
        <f t="shared" si="44"/>
        <v>19649.169748739998</v>
      </c>
      <c r="Z61" s="59">
        <f t="shared" si="45"/>
        <v>281638.0997319399</v>
      </c>
    </row>
    <row r="62" spans="2:26" x14ac:dyDescent="0.35">
      <c r="B62" t="s">
        <v>9</v>
      </c>
      <c r="C62" s="44">
        <v>22</v>
      </c>
      <c r="D62" s="45">
        <v>0.36</v>
      </c>
      <c r="E62" s="44">
        <f t="shared" si="28"/>
        <v>29.919999999999998</v>
      </c>
      <c r="G62" s="42">
        <f t="shared" si="29"/>
        <v>171373.99391441469</v>
      </c>
      <c r="H62" s="42">
        <f t="shared" si="30"/>
        <v>38559.148630743308</v>
      </c>
      <c r="I62" s="60">
        <f t="shared" si="31"/>
        <v>209933.14254515799</v>
      </c>
      <c r="K62" s="80">
        <f>VLOOKUP($B62,'Business Baseline'!$B$14:$D$23,3,FALSE)</f>
        <v>1.2999999999999999E-3</v>
      </c>
      <c r="L62" s="90">
        <f t="shared" si="32"/>
        <v>21.56</v>
      </c>
      <c r="M62" s="79">
        <f t="shared" si="33"/>
        <v>21.128799999999998</v>
      </c>
      <c r="N62" s="88">
        <f t="shared" si="34"/>
        <v>6000.4892380952369</v>
      </c>
      <c r="O62" s="88">
        <f t="shared" si="35"/>
        <v>300.02446190476184</v>
      </c>
      <c r="P62" s="1">
        <f t="shared" si="36"/>
        <v>127429.9897537333</v>
      </c>
      <c r="Q62" s="1">
        <f t="shared" si="37"/>
        <v>9557.2492315299969</v>
      </c>
      <c r="R62" s="60">
        <f t="shared" si="38"/>
        <v>136987.23898526331</v>
      </c>
      <c r="S62" s="80">
        <f>VLOOKUP($B62,'Business Baseline'!$B$14:$D$23,3,FALSE)</f>
        <v>1.2999999999999999E-3</v>
      </c>
      <c r="T62" s="90">
        <f t="shared" si="39"/>
        <v>21.128799999999998</v>
      </c>
      <c r="U62" s="79">
        <f t="shared" si="40"/>
        <v>20.706223999999999</v>
      </c>
      <c r="V62" s="88">
        <f t="shared" si="41"/>
        <v>6000.4892380952369</v>
      </c>
      <c r="W62" s="88">
        <f t="shared" si="42"/>
        <v>300.02446190476184</v>
      </c>
      <c r="X62" s="1">
        <f t="shared" si="43"/>
        <v>124881.38995865863</v>
      </c>
      <c r="Y62" s="1">
        <f t="shared" si="44"/>
        <v>9366.1042468993965</v>
      </c>
      <c r="Z62" s="60">
        <f t="shared" si="45"/>
        <v>134247.49420555803</v>
      </c>
    </row>
    <row r="63" spans="2:26" ht="15" thickBot="1" x14ac:dyDescent="0.4">
      <c r="B63" s="5" t="s">
        <v>13</v>
      </c>
      <c r="D63" s="5"/>
      <c r="E63" s="29"/>
      <c r="F63" s="29"/>
      <c r="G63" s="29">
        <f>SUM(G53:G62)</f>
        <v>92230367.633939534</v>
      </c>
      <c r="H63" s="29">
        <f>SUM(H53:H62)</f>
        <v>20751832.717636399</v>
      </c>
      <c r="I63" s="62">
        <f>SUM(I53:I62)</f>
        <v>112982200.35157597</v>
      </c>
      <c r="L63" s="5"/>
      <c r="M63" s="29"/>
      <c r="N63" s="29">
        <f>SUM(N53:N62)</f>
        <v>4615760.9523809524</v>
      </c>
      <c r="O63" s="29">
        <f>SUM(O53:O62)</f>
        <v>230788.0476190476</v>
      </c>
      <c r="P63" s="82">
        <f>SUM(P53:P62)</f>
        <v>68580503.576554656</v>
      </c>
      <c r="Q63" s="83">
        <f>SUM(Q53:Q62)</f>
        <v>5143537.7682416001</v>
      </c>
      <c r="R63" s="62">
        <f>SUM(R53:R62)</f>
        <v>73724041.34479627</v>
      </c>
      <c r="T63" s="5"/>
      <c r="U63" s="29"/>
      <c r="V63" s="29">
        <f>SUM(V53:V62)</f>
        <v>4615760.9523809524</v>
      </c>
      <c r="W63" s="29">
        <f>SUM(W53:W62)</f>
        <v>230788.0476190476</v>
      </c>
      <c r="X63" s="82">
        <f>SUM(X53:X62)</f>
        <v>67208893.505023569</v>
      </c>
      <c r="Y63" s="83">
        <f>SUM(Y53:Y62)</f>
        <v>5040667.0128767686</v>
      </c>
      <c r="Z63" s="62">
        <f>SUM(Z53:Z62)</f>
        <v>72249560.517900333</v>
      </c>
    </row>
    <row r="64" spans="2:26" x14ac:dyDescent="0.35">
      <c r="D64" s="5"/>
      <c r="E64" s="29"/>
      <c r="F64" s="29"/>
      <c r="G64" s="29"/>
      <c r="H64" s="29"/>
      <c r="I64" s="29"/>
    </row>
    <row r="74" spans="4:8" x14ac:dyDescent="0.35">
      <c r="D74" s="39"/>
      <c r="H74" s="39"/>
    </row>
    <row r="75" spans="4:8" x14ac:dyDescent="0.35">
      <c r="D75" s="39"/>
      <c r="H75" s="39"/>
    </row>
  </sheetData>
  <mergeCells count="1">
    <mergeCell ref="L12:M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8EE4CC29F34B4AA4269A7AFC21B64E" ma:contentTypeVersion="15" ma:contentTypeDescription="Create a new document." ma:contentTypeScope="" ma:versionID="a9d04579290b9f203c47460faff3f1cb">
  <xsd:schema xmlns:xsd="http://www.w3.org/2001/XMLSchema" xmlns:xs="http://www.w3.org/2001/XMLSchema" xmlns:p="http://schemas.microsoft.com/office/2006/metadata/properties" xmlns:ns2="7443053d-2fef-45f2-b252-b286431b4b23" xmlns:ns3="cb56d766-ff1e-4259-b6dc-ef5737eed16e" targetNamespace="http://schemas.microsoft.com/office/2006/metadata/properties" ma:root="true" ma:fieldsID="28638fc88cf6cc39fa84dd8ed88e6e26" ns2:_="" ns3:_="">
    <xsd:import namespace="7443053d-2fef-45f2-b252-b286431b4b23"/>
    <xsd:import namespace="cb56d766-ff1e-4259-b6dc-ef5737eed1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3053d-2fef-45f2-b252-b286431b4b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6d766-ff1e-4259-b6dc-ef5737eed1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01ca143-071f-41bf-9942-5876d7f29f6b}" ma:internalName="TaxCatchAll" ma:showField="CatchAllData" ma:web="cb56d766-ff1e-4259-b6dc-ef5737eed1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56d766-ff1e-4259-b6dc-ef5737eed16e" xsi:nil="true"/>
    <lcf76f155ced4ddcb4097134ff3c332f xmlns="7443053d-2fef-45f2-b252-b286431b4b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99CE6D-AA5D-4A8E-99D0-0FEB154087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8CBAF4-46F0-4A53-AFC9-C10CB57389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3053d-2fef-45f2-b252-b286431b4b23"/>
    <ds:schemaRef ds:uri="cb56d766-ff1e-4259-b6dc-ef5737eed1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2E5CE6-9FA1-4ECC-9CDB-45A40ED0E165}">
  <ds:schemaRefs>
    <ds:schemaRef ds:uri="http://purl.org/dc/terms/"/>
    <ds:schemaRef ds:uri="http://schemas.microsoft.com/office/2006/metadata/properties"/>
    <ds:schemaRef ds:uri="cb56d766-ff1e-4259-b6dc-ef5737eed16e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443053d-2fef-45f2-b252-b286431b4b23"/>
  </ds:schemaRefs>
</ds:datastoreItem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MSP Program</vt:lpstr>
      <vt:lpstr>Detailed MSP Model</vt:lpstr>
      <vt:lpstr>MSP 1 Pay Rates</vt:lpstr>
      <vt:lpstr>Business Baseline</vt:lpstr>
      <vt:lpstr>MSP Program Cost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Noubissi, Biani</dc:creator>
  <cp:lastModifiedBy>Noubissi, Biani</cp:lastModifiedBy>
  <dcterms:created xsi:type="dcterms:W3CDTF">2023-03-07T15:13:53Z</dcterms:created>
  <dcterms:modified xsi:type="dcterms:W3CDTF">2023-06-30T17:13:23Z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0x010100698EE4CC29F34B4AA4269A7AFC21B64E</vt:lpwstr>
  </property>
  <property fmtid="{D5CDD505-2E9C-101B-9397-08002B2CF9AE}" pid="3" name="MediaServiceImageTags">
    <vt:lpwstr/>
  </property>
</Properties>
</file>